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ropbox\Documents\Home\"/>
    </mc:Choice>
  </mc:AlternateContent>
  <bookViews>
    <workbookView xWindow="0" yWindow="0" windowWidth="28800" windowHeight="14820"/>
  </bookViews>
  <sheets>
    <sheet name="Scores" sheetId="1" r:id="rId1"/>
    <sheet name="Statistics" sheetId="3" r:id="rId2"/>
    <sheet name="Trends" sheetId="4" r:id="rId3"/>
  </sheets>
  <definedNames>
    <definedName name="CUP">Scores!$B$36:$B$37</definedName>
    <definedName name="LIST">Scores!$A$36:$A$37</definedName>
    <definedName name="_xlnm.Print_Titles" localSheetId="0">Scores!$A:$A</definedName>
  </definedNames>
  <calcPr calcId="152511"/>
  <webPublishObjects count="1">
    <webPublishObject id="30817" divId="NewInnA_30817" destinationFile="C:\Users\Richard\Dropbox\Documents\Home\NewInnA.htm" autoRepublish="1"/>
  </webPublishObject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32" i="1" l="1"/>
  <c r="A21" i="3" l="1"/>
  <c r="BL32" i="1"/>
  <c r="BR29" i="1"/>
  <c r="BO29" i="1"/>
  <c r="BL29" i="1"/>
  <c r="BI29" i="1"/>
  <c r="BI32" i="1"/>
  <c r="BF29" i="1"/>
  <c r="BC29" i="1"/>
  <c r="AZ29" i="1"/>
  <c r="AW29" i="1"/>
  <c r="AT29" i="1"/>
  <c r="AQ29" i="1"/>
  <c r="AN29" i="1"/>
  <c r="AK29" i="1"/>
  <c r="AH29" i="1"/>
  <c r="AE29" i="1"/>
  <c r="AB29" i="1"/>
  <c r="Y29" i="1"/>
  <c r="V29" i="1"/>
  <c r="P29" i="1"/>
  <c r="M29" i="1"/>
  <c r="J29" i="1"/>
  <c r="G29" i="1"/>
  <c r="D29" i="1"/>
  <c r="BF32" i="1"/>
  <c r="BF28" i="1"/>
  <c r="BF33" i="1"/>
  <c r="BC32" i="1"/>
  <c r="BC28" i="1"/>
  <c r="BC33" i="1"/>
  <c r="D28" i="1"/>
  <c r="C12" i="1"/>
  <c r="G28" i="1"/>
  <c r="F12" i="1"/>
  <c r="J28" i="1"/>
  <c r="I12" i="1"/>
  <c r="M28" i="1"/>
  <c r="L12" i="1"/>
  <c r="P28" i="1"/>
  <c r="O12" i="1"/>
  <c r="S28" i="1"/>
  <c r="R12" i="1"/>
  <c r="V28" i="1"/>
  <c r="U12" i="1"/>
  <c r="Y28" i="1"/>
  <c r="X12" i="1"/>
  <c r="AB28" i="1"/>
  <c r="AA12" i="1"/>
  <c r="AE28" i="1"/>
  <c r="AD12" i="1"/>
  <c r="AH28" i="1"/>
  <c r="AG12" i="1"/>
  <c r="AK28" i="1"/>
  <c r="AJ12" i="1"/>
  <c r="AN28" i="1"/>
  <c r="AM12" i="1"/>
  <c r="AQ28" i="1"/>
  <c r="AP12" i="1"/>
  <c r="AW28" i="1"/>
  <c r="AV12" i="1"/>
  <c r="AZ28" i="1"/>
  <c r="AY12" i="1"/>
  <c r="BB12" i="1"/>
  <c r="BE12" i="1"/>
  <c r="BI28" i="1"/>
  <c r="BH15" i="1"/>
  <c r="BL28" i="1"/>
  <c r="AT28" i="1"/>
  <c r="BR28" i="1"/>
  <c r="BQ13" i="1" s="1"/>
  <c r="F24" i="3"/>
  <c r="BO28" i="1"/>
  <c r="BN12" i="1" s="1"/>
  <c r="BQ12" i="1"/>
  <c r="BU28" i="1"/>
  <c r="BT12" i="1"/>
  <c r="BX28" i="1"/>
  <c r="BW12" i="1"/>
  <c r="CA28" i="1"/>
  <c r="BZ12" i="1"/>
  <c r="C13" i="1"/>
  <c r="F13" i="1"/>
  <c r="I13" i="1"/>
  <c r="L13" i="1"/>
  <c r="O13" i="1"/>
  <c r="R13" i="1"/>
  <c r="U13" i="1"/>
  <c r="X13" i="1"/>
  <c r="AA13" i="1"/>
  <c r="AD13" i="1"/>
  <c r="AG13" i="1"/>
  <c r="AJ13" i="1"/>
  <c r="AM13" i="1"/>
  <c r="AP13" i="1"/>
  <c r="AS13" i="1"/>
  <c r="AV13" i="1"/>
  <c r="AY13" i="1"/>
  <c r="BB13" i="1"/>
  <c r="BN13" i="1"/>
  <c r="Y9" i="3" s="1"/>
  <c r="BT13" i="1"/>
  <c r="BW13" i="1"/>
  <c r="BZ13" i="1"/>
  <c r="C14" i="1"/>
  <c r="F14" i="1"/>
  <c r="I14" i="1"/>
  <c r="L14" i="1"/>
  <c r="O14" i="1"/>
  <c r="R14" i="1"/>
  <c r="U14" i="1"/>
  <c r="X14" i="1"/>
  <c r="AA14" i="1"/>
  <c r="AD14" i="1"/>
  <c r="AG14" i="1"/>
  <c r="AJ14" i="1"/>
  <c r="AM14" i="1"/>
  <c r="AP14" i="1"/>
  <c r="AS14" i="1"/>
  <c r="AV14" i="1"/>
  <c r="AY14" i="1"/>
  <c r="BB14" i="1"/>
  <c r="BH14" i="1"/>
  <c r="BN14" i="1"/>
  <c r="BT14" i="1"/>
  <c r="BW14" i="1"/>
  <c r="BZ14" i="1"/>
  <c r="C15" i="1"/>
  <c r="F15" i="1"/>
  <c r="I15" i="1"/>
  <c r="L15" i="1"/>
  <c r="O15" i="1"/>
  <c r="R15" i="1"/>
  <c r="U15" i="1"/>
  <c r="X15" i="1"/>
  <c r="AA15" i="1"/>
  <c r="AD15" i="1"/>
  <c r="AG15" i="1"/>
  <c r="AJ15" i="1"/>
  <c r="AM15" i="1"/>
  <c r="AP15" i="1"/>
  <c r="AV15" i="1"/>
  <c r="AY15" i="1"/>
  <c r="BB15" i="1"/>
  <c r="BE15" i="1"/>
  <c r="BN15" i="1"/>
  <c r="BT15" i="1"/>
  <c r="BW15" i="1"/>
  <c r="BZ15" i="1"/>
  <c r="C16" i="1"/>
  <c r="F16" i="1"/>
  <c r="I16" i="1"/>
  <c r="L16" i="1"/>
  <c r="O16" i="1"/>
  <c r="R16" i="1"/>
  <c r="U16" i="1"/>
  <c r="X16" i="1"/>
  <c r="AA16" i="1"/>
  <c r="AD16" i="1"/>
  <c r="AG16" i="1"/>
  <c r="AJ16" i="1"/>
  <c r="AM16" i="1"/>
  <c r="AP16" i="1"/>
  <c r="AS16" i="1"/>
  <c r="AV16" i="1"/>
  <c r="AY16" i="1"/>
  <c r="BB16" i="1"/>
  <c r="BH16" i="1"/>
  <c r="BN16" i="1"/>
  <c r="BT16" i="1"/>
  <c r="BW16" i="1"/>
  <c r="BZ16" i="1"/>
  <c r="C17" i="1"/>
  <c r="F17" i="1"/>
  <c r="I17" i="1"/>
  <c r="L17" i="1"/>
  <c r="O17" i="1"/>
  <c r="R17" i="1"/>
  <c r="U17" i="1"/>
  <c r="X17" i="1"/>
  <c r="AA17" i="1"/>
  <c r="AD17" i="1"/>
  <c r="AG17" i="1"/>
  <c r="AJ17" i="1"/>
  <c r="AM17" i="1"/>
  <c r="AP17" i="1"/>
  <c r="AS17" i="1"/>
  <c r="AV17" i="1"/>
  <c r="AY17" i="1"/>
  <c r="BB17" i="1"/>
  <c r="BH17" i="1"/>
  <c r="BN17" i="1"/>
  <c r="BT17" i="1"/>
  <c r="BW17" i="1"/>
  <c r="BZ17" i="1"/>
  <c r="C18" i="1"/>
  <c r="F18" i="1"/>
  <c r="I18" i="1"/>
  <c r="L18" i="1"/>
  <c r="O18" i="1"/>
  <c r="R18" i="1"/>
  <c r="U18" i="1"/>
  <c r="X18" i="1"/>
  <c r="AA18" i="1"/>
  <c r="AD18" i="1"/>
  <c r="AG18" i="1"/>
  <c r="AJ18" i="1"/>
  <c r="AM18" i="1"/>
  <c r="AP18" i="1"/>
  <c r="AS18" i="1"/>
  <c r="AV18" i="1"/>
  <c r="AY18" i="1"/>
  <c r="BB18" i="1"/>
  <c r="BH18" i="1"/>
  <c r="BN18" i="1"/>
  <c r="BT18" i="1"/>
  <c r="BW18" i="1"/>
  <c r="BZ18" i="1"/>
  <c r="C19" i="1"/>
  <c r="F19" i="1"/>
  <c r="I19" i="1"/>
  <c r="L19" i="1"/>
  <c r="O19" i="1"/>
  <c r="R19" i="1"/>
  <c r="U19" i="1"/>
  <c r="X19" i="1"/>
  <c r="AA19" i="1"/>
  <c r="AD19" i="1"/>
  <c r="AG19" i="1"/>
  <c r="AJ19" i="1"/>
  <c r="AM19" i="1"/>
  <c r="AP19" i="1"/>
  <c r="AS19" i="1"/>
  <c r="AV19" i="1"/>
  <c r="AY19" i="1"/>
  <c r="BB19" i="1"/>
  <c r="BH19" i="1"/>
  <c r="BN19" i="1"/>
  <c r="BT19" i="1"/>
  <c r="BW19" i="1"/>
  <c r="BZ19" i="1"/>
  <c r="C20" i="1"/>
  <c r="F20" i="1"/>
  <c r="I20" i="1"/>
  <c r="L20" i="1"/>
  <c r="O20" i="1"/>
  <c r="R20" i="1"/>
  <c r="U20" i="1"/>
  <c r="X20" i="1"/>
  <c r="AA20" i="1"/>
  <c r="AD20" i="1"/>
  <c r="AG20" i="1"/>
  <c r="AJ20" i="1"/>
  <c r="AM20" i="1"/>
  <c r="AP20" i="1"/>
  <c r="AS20" i="1"/>
  <c r="AV20" i="1"/>
  <c r="AY20" i="1"/>
  <c r="BB20" i="1"/>
  <c r="BE20" i="1"/>
  <c r="BH20" i="1"/>
  <c r="BN20" i="1"/>
  <c r="BT20" i="1"/>
  <c r="BW20" i="1"/>
  <c r="BZ20" i="1"/>
  <c r="C21" i="1"/>
  <c r="F21" i="1"/>
  <c r="I21" i="1"/>
  <c r="L21" i="1"/>
  <c r="O21" i="1"/>
  <c r="R21" i="1"/>
  <c r="U21" i="1"/>
  <c r="X21" i="1"/>
  <c r="AA21" i="1"/>
  <c r="AD21" i="1"/>
  <c r="AG21" i="1"/>
  <c r="AJ21" i="1"/>
  <c r="AM21" i="1"/>
  <c r="AP21" i="1"/>
  <c r="AS21" i="1"/>
  <c r="AV21" i="1"/>
  <c r="AY21" i="1"/>
  <c r="BB21" i="1"/>
  <c r="BE21" i="1"/>
  <c r="BH21" i="1"/>
  <c r="BN21" i="1"/>
  <c r="BT21" i="1"/>
  <c r="BW21" i="1"/>
  <c r="BZ21" i="1"/>
  <c r="C22" i="1"/>
  <c r="F22" i="1"/>
  <c r="I22" i="1"/>
  <c r="L22" i="1"/>
  <c r="O22" i="1"/>
  <c r="R22" i="1"/>
  <c r="U22" i="1"/>
  <c r="X22" i="1"/>
  <c r="AA22" i="1"/>
  <c r="AD22" i="1"/>
  <c r="AG22" i="1"/>
  <c r="AJ22" i="1"/>
  <c r="AM22" i="1"/>
  <c r="AP22" i="1"/>
  <c r="AS22" i="1"/>
  <c r="AV22" i="1"/>
  <c r="AY22" i="1"/>
  <c r="BB22" i="1"/>
  <c r="BE22" i="1"/>
  <c r="BH22" i="1"/>
  <c r="BN22" i="1"/>
  <c r="BT22" i="1"/>
  <c r="BW22" i="1"/>
  <c r="BZ22" i="1"/>
  <c r="AP23" i="1"/>
  <c r="D19" i="3"/>
  <c r="AP24" i="1"/>
  <c r="D20" i="3"/>
  <c r="C25" i="1"/>
  <c r="F25" i="1"/>
  <c r="I25" i="1"/>
  <c r="L25" i="1"/>
  <c r="O25" i="1"/>
  <c r="R25" i="1"/>
  <c r="U25" i="1"/>
  <c r="X25" i="1"/>
  <c r="AA25" i="1"/>
  <c r="AD25" i="1"/>
  <c r="AG25" i="1"/>
  <c r="AJ25" i="1"/>
  <c r="AM25" i="1"/>
  <c r="AP25" i="1"/>
  <c r="AS25" i="1"/>
  <c r="AV25" i="1"/>
  <c r="BB25" i="1"/>
  <c r="BE25" i="1"/>
  <c r="BH25" i="1"/>
  <c r="BK25" i="1"/>
  <c r="BT25" i="1"/>
  <c r="BW25" i="1"/>
  <c r="BZ25" i="1"/>
  <c r="D22" i="3"/>
  <c r="C11" i="1"/>
  <c r="F11" i="1"/>
  <c r="I11" i="1"/>
  <c r="L11" i="1"/>
  <c r="O11" i="1"/>
  <c r="R11" i="1"/>
  <c r="U11" i="1"/>
  <c r="X11" i="1"/>
  <c r="AA11" i="1"/>
  <c r="AD11" i="1"/>
  <c r="AG11" i="1"/>
  <c r="AJ11" i="1"/>
  <c r="AM11" i="1"/>
  <c r="AP11" i="1"/>
  <c r="AS11" i="1"/>
  <c r="AV11" i="1"/>
  <c r="AY11" i="1"/>
  <c r="BB11" i="1"/>
  <c r="BE11" i="1"/>
  <c r="BH11" i="1"/>
  <c r="BN11" i="1"/>
  <c r="BT11" i="1"/>
  <c r="BW11" i="1"/>
  <c r="BZ11" i="1"/>
  <c r="C19" i="3"/>
  <c r="C20" i="3"/>
  <c r="C22" i="3"/>
  <c r="AW32" i="1"/>
  <c r="AZ32" i="1"/>
  <c r="BL33" i="1"/>
  <c r="BI33" i="1"/>
  <c r="BL34" i="1"/>
  <c r="BJ28" i="1"/>
  <c r="BI34" i="1"/>
  <c r="BG28" i="1"/>
  <c r="BF34" i="1"/>
  <c r="BD28" i="1"/>
  <c r="BC34" i="1"/>
  <c r="BA28" i="1"/>
  <c r="AR28" i="1"/>
  <c r="AS28" i="1"/>
  <c r="AO28" i="1"/>
  <c r="AP28" i="1"/>
  <c r="AL28" i="1"/>
  <c r="AM28" i="1"/>
  <c r="A4" i="4"/>
  <c r="AG20" i="3"/>
  <c r="AE20" i="3"/>
  <c r="AD20" i="3"/>
  <c r="AA20" i="3"/>
  <c r="Y20" i="3"/>
  <c r="X20" i="3"/>
  <c r="U20" i="3"/>
  <c r="S20" i="3"/>
  <c r="T20" i="3" s="1"/>
  <c r="V20" i="3" s="1"/>
  <c r="R20" i="3"/>
  <c r="O20" i="3"/>
  <c r="M20" i="3"/>
  <c r="N20" i="3"/>
  <c r="P20" i="3" s="1"/>
  <c r="L20" i="3"/>
  <c r="I20" i="3"/>
  <c r="G20" i="3"/>
  <c r="H20" i="3" s="1"/>
  <c r="F20" i="3"/>
  <c r="AG19" i="3"/>
  <c r="AE19" i="3"/>
  <c r="AD19" i="3"/>
  <c r="AA19" i="3"/>
  <c r="Y19" i="3"/>
  <c r="X19" i="3"/>
  <c r="U19" i="3"/>
  <c r="S19" i="3"/>
  <c r="T19" i="3"/>
  <c r="V19" i="3" s="1"/>
  <c r="R19" i="3"/>
  <c r="O19" i="3"/>
  <c r="M19" i="3"/>
  <c r="N19" i="3" s="1"/>
  <c r="P19" i="3" s="1"/>
  <c r="L19" i="3"/>
  <c r="I19" i="3"/>
  <c r="G19" i="3"/>
  <c r="H19" i="3" s="1"/>
  <c r="F19" i="3"/>
  <c r="A19" i="3"/>
  <c r="A20" i="3"/>
  <c r="AT32" i="1"/>
  <c r="AQ32" i="1"/>
  <c r="AN32" i="1"/>
  <c r="AF20" i="3"/>
  <c r="AF19" i="3"/>
  <c r="Z20" i="3"/>
  <c r="E28" i="1"/>
  <c r="F28" i="1"/>
  <c r="H28" i="1"/>
  <c r="I28" i="1"/>
  <c r="K28" i="1"/>
  <c r="L28" i="1"/>
  <c r="N28" i="1"/>
  <c r="Q28" i="1"/>
  <c r="T28" i="1"/>
  <c r="U28" i="1"/>
  <c r="W28" i="1"/>
  <c r="Z28" i="1"/>
  <c r="AC28" i="1"/>
  <c r="AF28" i="1"/>
  <c r="AI28" i="1"/>
  <c r="AJ28" i="1"/>
  <c r="AU28" i="1"/>
  <c r="AX28" i="1"/>
  <c r="BM28" i="1"/>
  <c r="BP28" i="1"/>
  <c r="BS28" i="1"/>
  <c r="BV28" i="1"/>
  <c r="BY28" i="1"/>
  <c r="R24" i="3"/>
  <c r="R12" i="3"/>
  <c r="AD16" i="3"/>
  <c r="X16" i="3"/>
  <c r="R16" i="3"/>
  <c r="L16" i="3"/>
  <c r="F16" i="3"/>
  <c r="AD13" i="3"/>
  <c r="X13" i="3"/>
  <c r="R13" i="3"/>
  <c r="L13" i="3"/>
  <c r="F13" i="3"/>
  <c r="A13" i="3"/>
  <c r="X12" i="3"/>
  <c r="R23" i="3"/>
  <c r="F23" i="3"/>
  <c r="R22" i="3"/>
  <c r="R21" i="3"/>
  <c r="F21" i="3"/>
  <c r="R18" i="3"/>
  <c r="F18" i="3"/>
  <c r="R17" i="3"/>
  <c r="F17" i="3"/>
  <c r="R15" i="3"/>
  <c r="F15" i="3"/>
  <c r="R14" i="3"/>
  <c r="F14" i="3"/>
  <c r="F12" i="3"/>
  <c r="R11" i="3"/>
  <c r="F11" i="3"/>
  <c r="R10" i="3"/>
  <c r="F10" i="3"/>
  <c r="R9" i="3"/>
  <c r="F9" i="3"/>
  <c r="R8" i="3"/>
  <c r="F8" i="3"/>
  <c r="R7" i="3"/>
  <c r="F7" i="3"/>
  <c r="F22" i="3"/>
  <c r="AK32" i="1"/>
  <c r="AK33" i="1"/>
  <c r="AH32" i="1"/>
  <c r="Y32" i="1"/>
  <c r="B3" i="4"/>
  <c r="A5" i="4"/>
  <c r="A6" i="4"/>
  <c r="A7" i="4"/>
  <c r="A8" i="4"/>
  <c r="A9" i="4"/>
  <c r="A10" i="4"/>
  <c r="A11" i="4"/>
  <c r="A12" i="4"/>
  <c r="A13" i="4"/>
  <c r="Y23" i="3"/>
  <c r="X23" i="3"/>
  <c r="Z23" i="3" s="1"/>
  <c r="BK11" i="1"/>
  <c r="X7" i="3"/>
  <c r="BH12" i="1"/>
  <c r="BK12" i="1"/>
  <c r="X8" i="3"/>
  <c r="BE13" i="1"/>
  <c r="BH13" i="1"/>
  <c r="BK13" i="1"/>
  <c r="X9" i="3"/>
  <c r="BE14" i="1"/>
  <c r="BK14" i="1"/>
  <c r="X10" i="3"/>
  <c r="BK15" i="1"/>
  <c r="X11" i="3"/>
  <c r="BE17" i="1"/>
  <c r="BK17" i="1"/>
  <c r="BE18" i="1"/>
  <c r="BK18" i="1"/>
  <c r="X14" i="3"/>
  <c r="BE19" i="1"/>
  <c r="BK19" i="1"/>
  <c r="X15" i="3"/>
  <c r="BK20" i="1"/>
  <c r="BK21" i="1"/>
  <c r="X17" i="3"/>
  <c r="BK22" i="1"/>
  <c r="X18" i="3"/>
  <c r="Y22" i="3"/>
  <c r="X22" i="3"/>
  <c r="Z22" i="3" s="1"/>
  <c r="S23" i="3"/>
  <c r="T23" i="3" s="1"/>
  <c r="V23" i="3" s="1"/>
  <c r="S22" i="3"/>
  <c r="T22" i="3" s="1"/>
  <c r="X21" i="3"/>
  <c r="L7" i="3"/>
  <c r="AA23" i="3"/>
  <c r="U23" i="3"/>
  <c r="AA22" i="3"/>
  <c r="U22" i="3"/>
  <c r="CA33" i="1"/>
  <c r="BX33" i="1"/>
  <c r="BU33" i="1"/>
  <c r="BR33" i="1"/>
  <c r="BO33" i="1"/>
  <c r="AZ33" i="1"/>
  <c r="AW33" i="1"/>
  <c r="AQ33" i="1"/>
  <c r="AH33" i="1"/>
  <c r="AE33" i="1"/>
  <c r="AB33" i="1"/>
  <c r="S33" i="1"/>
  <c r="D32" i="1"/>
  <c r="D34" i="1"/>
  <c r="V32" i="1"/>
  <c r="P32" i="1"/>
  <c r="M32" i="1"/>
  <c r="M34" i="1"/>
  <c r="J32" i="1"/>
  <c r="J33" i="1"/>
  <c r="O1" i="3"/>
  <c r="G32" i="1"/>
  <c r="G33" i="1"/>
  <c r="BU34" i="1"/>
  <c r="AW34" i="1"/>
  <c r="AK34" i="1"/>
  <c r="I1" i="1"/>
  <c r="B28" i="1"/>
  <c r="AD23" i="3"/>
  <c r="L23" i="3"/>
  <c r="A23" i="3"/>
  <c r="AD22" i="3"/>
  <c r="L22" i="3"/>
  <c r="A22" i="3"/>
  <c r="AD21" i="3"/>
  <c r="L21" i="3"/>
  <c r="AD18" i="3"/>
  <c r="L18" i="3"/>
  <c r="A18" i="3"/>
  <c r="AD17" i="3"/>
  <c r="L17" i="3"/>
  <c r="A17" i="3"/>
  <c r="A16" i="3"/>
  <c r="AD15" i="3"/>
  <c r="L15" i="3"/>
  <c r="A15" i="3"/>
  <c r="AD14" i="3"/>
  <c r="L14" i="3"/>
  <c r="A14" i="3"/>
  <c r="AD12" i="3"/>
  <c r="L12" i="3"/>
  <c r="A12" i="3"/>
  <c r="AD11" i="3"/>
  <c r="L11" i="3"/>
  <c r="A11" i="3"/>
  <c r="AD10" i="3"/>
  <c r="L10" i="3"/>
  <c r="A10" i="3"/>
  <c r="AD9" i="3"/>
  <c r="L9" i="3"/>
  <c r="A9" i="3"/>
  <c r="AD8" i="3"/>
  <c r="L8" i="3"/>
  <c r="A8" i="3"/>
  <c r="AD7" i="3"/>
  <c r="A7" i="3"/>
  <c r="AH34" i="1"/>
  <c r="M33" i="1"/>
  <c r="P33" i="1"/>
  <c r="AE22" i="3"/>
  <c r="I22" i="3"/>
  <c r="M22" i="3"/>
  <c r="N22" i="3" s="1"/>
  <c r="AE23" i="3"/>
  <c r="AF23" i="3" s="1"/>
  <c r="BE16" i="1"/>
  <c r="BK16" i="1"/>
  <c r="I23" i="3"/>
  <c r="O23" i="3"/>
  <c r="G23" i="3"/>
  <c r="H23" i="3" s="1"/>
  <c r="J23" i="3" s="1"/>
  <c r="AG23" i="3"/>
  <c r="M23" i="3"/>
  <c r="N23" i="3" s="1"/>
  <c r="O22" i="3"/>
  <c r="AG22" i="3"/>
  <c r="G22" i="3"/>
  <c r="J34" i="1"/>
  <c r="CA34" i="1"/>
  <c r="BO34" i="1"/>
  <c r="D33" i="1"/>
  <c r="P34" i="1"/>
  <c r="V34" i="1"/>
  <c r="AB34" i="1"/>
  <c r="BR34" i="1"/>
  <c r="L29" i="3" s="1"/>
  <c r="V33" i="1"/>
  <c r="C28" i="1"/>
  <c r="AT33" i="1"/>
  <c r="AQ34" i="1"/>
  <c r="O28" i="1"/>
  <c r="AG28" i="1"/>
  <c r="AN34" i="1"/>
  <c r="AT34" i="1"/>
  <c r="S34" i="1"/>
  <c r="Y34" i="1"/>
  <c r="BX34" i="1"/>
  <c r="AN33" i="1"/>
  <c r="X24" i="3"/>
  <c r="X28" i="1"/>
  <c r="Y33" i="1"/>
  <c r="L24" i="3"/>
  <c r="AE34" i="1"/>
  <c r="G34" i="1"/>
  <c r="AZ34" i="1"/>
  <c r="AD24" i="3"/>
  <c r="X28" i="3"/>
  <c r="X29" i="3"/>
  <c r="F27" i="3"/>
  <c r="F29" i="3"/>
  <c r="R28" i="3"/>
  <c r="L27" i="3"/>
  <c r="L28" i="3"/>
  <c r="F28" i="3"/>
  <c r="R27" i="3"/>
  <c r="X27" i="3"/>
  <c r="R29" i="3"/>
  <c r="AD29" i="3"/>
  <c r="AG9" i="3"/>
  <c r="G8" i="3" l="1"/>
  <c r="D8" i="3"/>
  <c r="U8" i="3"/>
  <c r="C8" i="3"/>
  <c r="AE8" i="3"/>
  <c r="AF8" i="3" s="1"/>
  <c r="S8" i="3"/>
  <c r="O8" i="3"/>
  <c r="G9" i="3"/>
  <c r="H9" i="3" s="1"/>
  <c r="D9" i="3"/>
  <c r="AA9" i="3"/>
  <c r="H22" i="3"/>
  <c r="AF22" i="3"/>
  <c r="Z19" i="3"/>
  <c r="AD27" i="3"/>
  <c r="H8" i="3"/>
  <c r="AD28" i="3"/>
  <c r="R30" i="3"/>
  <c r="S29" i="3" s="1"/>
  <c r="F30" i="3"/>
  <c r="G27" i="3" s="1"/>
  <c r="T8" i="3"/>
  <c r="BQ22" i="1"/>
  <c r="BQ19" i="1"/>
  <c r="BQ18" i="1"/>
  <c r="BQ17" i="1"/>
  <c r="Y12" i="3" s="1"/>
  <c r="Z12" i="3" s="1"/>
  <c r="BQ16" i="1"/>
  <c r="I12" i="3" s="1"/>
  <c r="X30" i="3"/>
  <c r="Y27" i="3" s="1"/>
  <c r="Z9" i="3"/>
  <c r="L30" i="3"/>
  <c r="M27" i="3" s="1"/>
  <c r="BQ15" i="1"/>
  <c r="M9" i="3"/>
  <c r="N9" i="3" s="1"/>
  <c r="U9" i="3"/>
  <c r="C9" i="3"/>
  <c r="AE9" i="3"/>
  <c r="AF9" i="3" s="1"/>
  <c r="S9" i="3"/>
  <c r="T9" i="3" s="1"/>
  <c r="I9" i="3"/>
  <c r="O9" i="3"/>
  <c r="AA15" i="3"/>
  <c r="D15" i="3"/>
  <c r="AG15" i="3"/>
  <c r="Y15" i="3"/>
  <c r="Z15" i="3" s="1"/>
  <c r="AE15" i="3"/>
  <c r="AF15" i="3" s="1"/>
  <c r="S15" i="3"/>
  <c r="T15" i="3" s="1"/>
  <c r="I15" i="3"/>
  <c r="O15" i="3"/>
  <c r="M15" i="3"/>
  <c r="N15" i="3" s="1"/>
  <c r="M14" i="3"/>
  <c r="N14" i="3" s="1"/>
  <c r="S14" i="3"/>
  <c r="T14" i="3" s="1"/>
  <c r="U14" i="3"/>
  <c r="D14" i="3"/>
  <c r="Y14" i="3"/>
  <c r="Z14" i="3" s="1"/>
  <c r="C14" i="3"/>
  <c r="AG14" i="3"/>
  <c r="D13" i="3"/>
  <c r="AG13" i="3"/>
  <c r="S13" i="3"/>
  <c r="T13" i="3" s="1"/>
  <c r="U13" i="3"/>
  <c r="Y13" i="3"/>
  <c r="Z13" i="3" s="1"/>
  <c r="AE13" i="3"/>
  <c r="AF13" i="3" s="1"/>
  <c r="X4" i="3"/>
  <c r="M8" i="3"/>
  <c r="N8" i="3" s="1"/>
  <c r="AG8" i="3"/>
  <c r="I8" i="3"/>
  <c r="O11" i="3"/>
  <c r="U11" i="3"/>
  <c r="AE11" i="3"/>
  <c r="AF11" i="3" s="1"/>
  <c r="Y8" i="3"/>
  <c r="Z8" i="3" s="1"/>
  <c r="BQ11" i="1"/>
  <c r="BQ21" i="1"/>
  <c r="AA8" i="3"/>
  <c r="AG11" i="3"/>
  <c r="G11" i="3"/>
  <c r="H11" i="3" s="1"/>
  <c r="M18" i="3"/>
  <c r="N18" i="3" s="1"/>
  <c r="P18" i="3" s="1"/>
  <c r="M11" i="3"/>
  <c r="N11" i="3" s="1"/>
  <c r="BQ25" i="1"/>
  <c r="BQ20" i="1"/>
  <c r="BQ14" i="1"/>
  <c r="AD30" i="3" l="1"/>
  <c r="AE27" i="3" s="1"/>
  <c r="G29" i="3"/>
  <c r="G28" i="3"/>
  <c r="S28" i="3"/>
  <c r="M28" i="3"/>
  <c r="M29" i="3"/>
  <c r="M12" i="3"/>
  <c r="N12" i="3" s="1"/>
  <c r="S27" i="3"/>
  <c r="R4" i="3"/>
  <c r="S12" i="3"/>
  <c r="T12" i="3" s="1"/>
  <c r="L4" i="3"/>
  <c r="O13" i="3"/>
  <c r="F4" i="3"/>
  <c r="G13" i="3"/>
  <c r="H13" i="3" s="1"/>
  <c r="AA13" i="3"/>
  <c r="M13" i="3"/>
  <c r="N13" i="3" s="1"/>
  <c r="I13" i="3"/>
  <c r="C13" i="3"/>
  <c r="AE14" i="3"/>
  <c r="AF14" i="3" s="1"/>
  <c r="G14" i="3"/>
  <c r="H14" i="3" s="1"/>
  <c r="AA14" i="3"/>
  <c r="I14" i="3"/>
  <c r="O14" i="3"/>
  <c r="C12" i="3"/>
  <c r="G12" i="3"/>
  <c r="H12" i="3" s="1"/>
  <c r="O12" i="3"/>
  <c r="D12" i="3"/>
  <c r="AG12" i="3"/>
  <c r="Y18" i="3"/>
  <c r="Z18" i="3" s="1"/>
  <c r="I18" i="3"/>
  <c r="U18" i="3"/>
  <c r="AE18" i="3"/>
  <c r="AF18" i="3" s="1"/>
  <c r="O18" i="3"/>
  <c r="AG18" i="3"/>
  <c r="S18" i="3"/>
  <c r="T18" i="3" s="1"/>
  <c r="V18" i="3" s="1"/>
  <c r="G18" i="3"/>
  <c r="H18" i="3" s="1"/>
  <c r="AA12" i="3"/>
  <c r="U12" i="3"/>
  <c r="C18" i="3"/>
  <c r="AA18" i="3"/>
  <c r="D18" i="3"/>
  <c r="AE12" i="3"/>
  <c r="AF12" i="3" s="1"/>
  <c r="C15" i="3"/>
  <c r="U15" i="3"/>
  <c r="G15" i="3"/>
  <c r="H15" i="3" s="1"/>
  <c r="Y11" i="3"/>
  <c r="Z11" i="3" s="1"/>
  <c r="S11" i="3"/>
  <c r="T11" i="3" s="1"/>
  <c r="D11" i="3"/>
  <c r="C11" i="3"/>
  <c r="AA11" i="3"/>
  <c r="I11" i="3"/>
  <c r="Y29" i="3"/>
  <c r="Y28" i="3"/>
  <c r="Y10" i="3"/>
  <c r="Z10" i="3" s="1"/>
  <c r="AG10" i="3"/>
  <c r="C10" i="3"/>
  <c r="AA10" i="3"/>
  <c r="O10" i="3"/>
  <c r="U10" i="3"/>
  <c r="M10" i="3"/>
  <c r="N10" i="3" s="1"/>
  <c r="S10" i="3"/>
  <c r="T10" i="3" s="1"/>
  <c r="G10" i="3"/>
  <c r="H10" i="3" s="1"/>
  <c r="D10" i="3"/>
  <c r="I10" i="3"/>
  <c r="AE10" i="3"/>
  <c r="AF10" i="3" s="1"/>
  <c r="Y17" i="3"/>
  <c r="Z17" i="3" s="1"/>
  <c r="S17" i="3"/>
  <c r="T17" i="3" s="1"/>
  <c r="V17" i="3" s="1"/>
  <c r="U17" i="3"/>
  <c r="C17" i="3"/>
  <c r="AE17" i="3"/>
  <c r="AF17" i="3" s="1"/>
  <c r="I17" i="3"/>
  <c r="M17" i="3"/>
  <c r="N17" i="3" s="1"/>
  <c r="AG17" i="3"/>
  <c r="O17" i="3"/>
  <c r="AA17" i="3"/>
  <c r="G17" i="3"/>
  <c r="H17" i="3" s="1"/>
  <c r="D17" i="3"/>
  <c r="M16" i="3"/>
  <c r="N16" i="3" s="1"/>
  <c r="O16" i="3"/>
  <c r="AG16" i="3"/>
  <c r="U16" i="3"/>
  <c r="Y16" i="3"/>
  <c r="Z16" i="3" s="1"/>
  <c r="C16" i="3"/>
  <c r="D16" i="3"/>
  <c r="I16" i="3"/>
  <c r="AA16" i="3"/>
  <c r="S16" i="3"/>
  <c r="T16" i="3" s="1"/>
  <c r="AE16" i="3"/>
  <c r="AF16" i="3" s="1"/>
  <c r="G16" i="3"/>
  <c r="H16" i="3" s="1"/>
  <c r="G21" i="3"/>
  <c r="H21" i="3" s="1"/>
  <c r="AG21" i="3"/>
  <c r="I21" i="3"/>
  <c r="AE21" i="3"/>
  <c r="AF21" i="3" s="1"/>
  <c r="D21" i="3"/>
  <c r="C21" i="3"/>
  <c r="U21" i="3"/>
  <c r="M21" i="3"/>
  <c r="N21" i="3" s="1"/>
  <c r="Y21" i="3"/>
  <c r="Z21" i="3" s="1"/>
  <c r="O21" i="3"/>
  <c r="S21" i="3"/>
  <c r="T21" i="3" s="1"/>
  <c r="V21" i="3" s="1"/>
  <c r="AA21" i="3"/>
  <c r="Y7" i="3"/>
  <c r="M7" i="3"/>
  <c r="U7" i="3"/>
  <c r="O7" i="3"/>
  <c r="AE7" i="3"/>
  <c r="D7" i="3"/>
  <c r="AG7" i="3"/>
  <c r="G7" i="3"/>
  <c r="AA7" i="3"/>
  <c r="C7" i="3"/>
  <c r="S7" i="3"/>
  <c r="I7" i="3"/>
  <c r="AD4" i="3"/>
  <c r="AE29" i="3"/>
  <c r="AE28" i="3"/>
  <c r="Z7" i="3" l="1"/>
  <c r="AB17" i="3" s="1"/>
  <c r="Z24" i="3"/>
  <c r="N7" i="3"/>
  <c r="P16" i="3" s="1"/>
  <c r="N24" i="3"/>
  <c r="AB16" i="3"/>
  <c r="AF24" i="3"/>
  <c r="AF7" i="3"/>
  <c r="AH16" i="3" s="1"/>
  <c r="H7" i="3"/>
  <c r="J16" i="3" s="1"/>
  <c r="H24" i="3"/>
  <c r="T7" i="3"/>
  <c r="V10" i="3" s="1"/>
  <c r="T24" i="3"/>
  <c r="P17" i="3"/>
  <c r="J21" i="3" l="1"/>
  <c r="AH21" i="3"/>
  <c r="P21" i="3"/>
  <c r="P10" i="3"/>
  <c r="AB21" i="3"/>
  <c r="AH10" i="3"/>
  <c r="AH17" i="3"/>
  <c r="V8" i="3"/>
  <c r="V7" i="3"/>
  <c r="V9" i="3"/>
  <c r="V13" i="3"/>
  <c r="V11" i="3"/>
  <c r="V14" i="3"/>
  <c r="V15" i="3"/>
  <c r="V12" i="3"/>
  <c r="AB10" i="3"/>
  <c r="P9" i="3"/>
  <c r="P15" i="3"/>
  <c r="P7" i="3"/>
  <c r="P8" i="3"/>
  <c r="P13" i="3"/>
  <c r="P14" i="3"/>
  <c r="P23" i="3"/>
  <c r="P12" i="3"/>
  <c r="P11" i="3"/>
  <c r="J9" i="3"/>
  <c r="J20" i="3"/>
  <c r="J13" i="3"/>
  <c r="J19" i="3"/>
  <c r="J15" i="3"/>
  <c r="J12" i="3"/>
  <c r="J8" i="3"/>
  <c r="J18" i="3"/>
  <c r="J7" i="3"/>
  <c r="J14" i="3"/>
  <c r="J11" i="3"/>
  <c r="J10" i="3"/>
  <c r="J17" i="3"/>
  <c r="AH23" i="3"/>
  <c r="AH19" i="3"/>
  <c r="AH12" i="3"/>
  <c r="AH7" i="3"/>
  <c r="AH20" i="3"/>
  <c r="AH13" i="3"/>
  <c r="AH14" i="3"/>
  <c r="AH15" i="3"/>
  <c r="AH18" i="3"/>
  <c r="AH11" i="3"/>
  <c r="AH8" i="3"/>
  <c r="AH9" i="3"/>
  <c r="V16" i="3"/>
  <c r="AB18" i="3"/>
  <c r="AB12" i="3"/>
  <c r="AB13" i="3"/>
  <c r="AB7" i="3"/>
  <c r="AB9" i="3"/>
  <c r="AB11" i="3"/>
  <c r="AB14" i="3"/>
  <c r="AB23" i="3"/>
  <c r="AB20" i="3"/>
  <c r="AB15" i="3"/>
  <c r="AB19" i="3"/>
  <c r="AB8" i="3"/>
</calcChain>
</file>

<file path=xl/sharedStrings.xml><?xml version="1.0" encoding="utf-8"?>
<sst xmlns="http://schemas.openxmlformats.org/spreadsheetml/2006/main" count="280" uniqueCount="110">
  <si>
    <t>Player</t>
  </si>
  <si>
    <t>Date</t>
  </si>
  <si>
    <t>Where</t>
  </si>
  <si>
    <t>Home / Away</t>
  </si>
  <si>
    <t>Total</t>
  </si>
  <si>
    <t>Score</t>
  </si>
  <si>
    <t>Away</t>
  </si>
  <si>
    <t>Win/Loss</t>
  </si>
  <si>
    <t>Opposition:</t>
  </si>
  <si>
    <t>Comments:</t>
  </si>
  <si>
    <t>Rich W</t>
  </si>
  <si>
    <t>Dash</t>
  </si>
  <si>
    <t>John B</t>
  </si>
  <si>
    <t>Rod</t>
  </si>
  <si>
    <t>Lyndon</t>
  </si>
  <si>
    <t>Home</t>
  </si>
  <si>
    <t>Pos #</t>
  </si>
  <si>
    <t>Overall</t>
  </si>
  <si>
    <t>Pos</t>
  </si>
  <si>
    <t>Win</t>
  </si>
  <si>
    <t>Played</t>
  </si>
  <si>
    <t>Loss</t>
  </si>
  <si>
    <t>Draw</t>
  </si>
  <si>
    <t>Av.</t>
  </si>
  <si>
    <t>Tot.</t>
  </si>
  <si>
    <t># of</t>
  </si>
  <si>
    <t>Totes</t>
  </si>
  <si>
    <t>Sgnt. Major A</t>
  </si>
  <si>
    <t>Sgnt. Major B</t>
  </si>
  <si>
    <t>STATISTICS - New Inn A: 2017/18</t>
  </si>
  <si>
    <t>Key: saw</t>
  </si>
  <si>
    <t>SCORES - New Inn A: 2017/18</t>
  </si>
  <si>
    <t>Cup/League</t>
  </si>
  <si>
    <t>Cup</t>
  </si>
  <si>
    <t>League</t>
  </si>
  <si>
    <t>Game</t>
  </si>
  <si>
    <t>Last Updated =now()</t>
  </si>
  <si>
    <t>New Inn</t>
  </si>
  <si>
    <t>Oak Tree Arena</t>
  </si>
  <si>
    <t>C Durston</t>
  </si>
  <si>
    <t>Oak Tree</t>
  </si>
  <si>
    <t>S Hutchings</t>
  </si>
  <si>
    <t>Crown, Axbridge</t>
  </si>
  <si>
    <t>M Wall</t>
  </si>
  <si>
    <t>Bason Bridge</t>
  </si>
  <si>
    <t>1st round Knock Out Cup</t>
  </si>
  <si>
    <t>K Meredith</t>
  </si>
  <si>
    <t>D Scott</t>
  </si>
  <si>
    <t>White Horse, Mark</t>
  </si>
  <si>
    <t>M Anderson</t>
  </si>
  <si>
    <t>Lamb, Axbridge</t>
  </si>
  <si>
    <t>J Fear</t>
  </si>
  <si>
    <t>I Durston</t>
  </si>
  <si>
    <t>Watchfield</t>
  </si>
  <si>
    <t>Pete P</t>
  </si>
  <si>
    <t>Trevor D</t>
  </si>
  <si>
    <t>Dave E (Doc)</t>
  </si>
  <si>
    <t>Last Updated</t>
  </si>
  <si>
    <t>Prelim round 2nd chance</t>
  </si>
  <si>
    <t>1st Round 2nd Chance</t>
  </si>
  <si>
    <t>BASC Burnham</t>
  </si>
  <si>
    <t>A Forbes</t>
  </si>
  <si>
    <t>Red Cow, Brent Knoll</t>
  </si>
  <si>
    <t>Rich A</t>
  </si>
  <si>
    <t>???</t>
  </si>
  <si>
    <t>Postponed 
(Golf Tour)</t>
  </si>
  <si>
    <t>Pl'd</t>
  </si>
  <si>
    <t>Cumulative Average Scores</t>
  </si>
  <si>
    <t>Player  \ Date</t>
  </si>
  <si>
    <t>Home Average</t>
  </si>
  <si>
    <t>Overall Average</t>
  </si>
  <si>
    <t>NO GAME</t>
  </si>
  <si>
    <t>NO GAME - Opponents called off</t>
  </si>
  <si>
    <t>Highest Score</t>
  </si>
  <si>
    <t>Replay of game postponed 18/10</t>
  </si>
  <si>
    <t>Pete Duke</t>
  </si>
  <si>
    <t>B Cox</t>
  </si>
  <si>
    <t>Morley Fewings</t>
  </si>
  <si>
    <t>Wellington, Rooksbridge</t>
  </si>
  <si>
    <t>Lamb, Worle</t>
  </si>
  <si>
    <t>Johnny Torren-Spens</t>
  </si>
  <si>
    <t>Sexeys Arms, Blackford</t>
  </si>
  <si>
    <t xml:space="preserve"> </t>
  </si>
  <si>
    <t>Callum Stewart</t>
  </si>
  <si>
    <t>Dave Bennett</t>
  </si>
  <si>
    <t>Stewart D</t>
  </si>
  <si>
    <t>Steve Bloomer</t>
  </si>
  <si>
    <t>Away team, but played at New Inn</t>
  </si>
  <si>
    <t>A Pinn</t>
  </si>
  <si>
    <t>J Martin</t>
  </si>
  <si>
    <t>C Pegler</t>
  </si>
  <si>
    <t>B Stephens</t>
  </si>
  <si>
    <t>M Bennett</t>
  </si>
  <si>
    <t>M Tanner</t>
  </si>
  <si>
    <t>Woodborough, Winscombe</t>
  </si>
  <si>
    <t>Brent Knoll Inn</t>
  </si>
  <si>
    <t>Lamb Inn, Weare</t>
  </si>
  <si>
    <t>Lympsham Pavilion</t>
  </si>
  <si>
    <t>Woodborough</t>
  </si>
  <si>
    <t>Rubber Ball Alley</t>
  </si>
  <si>
    <t># of Totes</t>
  </si>
  <si>
    <t>Margin</t>
  </si>
  <si>
    <t>Average:</t>
  </si>
  <si>
    <t>Steve L</t>
  </si>
  <si>
    <t>Lympsham Pav.</t>
  </si>
  <si>
    <t>Scores Link</t>
  </si>
  <si>
    <t>&amp;</t>
  </si>
  <si>
    <t>Seb</t>
  </si>
  <si>
    <t>Extras</t>
  </si>
  <si>
    <t>R 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</si>
</sst>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\ yy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/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5" xfId="0" applyFont="1" applyFill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Border="1"/>
    <xf numFmtId="165" fontId="3" fillId="3" borderId="8" xfId="0" applyNumberFormat="1" applyFont="1" applyFill="1" applyBorder="1"/>
    <xf numFmtId="0" fontId="3" fillId="2" borderId="8" xfId="0" applyFont="1" applyFill="1" applyBorder="1"/>
    <xf numFmtId="165" fontId="3" fillId="2" borderId="8" xfId="0" applyNumberFormat="1" applyFont="1" applyFill="1" applyBorder="1"/>
    <xf numFmtId="0" fontId="4" fillId="2" borderId="8" xfId="0" applyFont="1" applyFill="1" applyBorder="1"/>
    <xf numFmtId="0" fontId="4" fillId="4" borderId="5" xfId="0" applyFont="1" applyFill="1" applyBorder="1"/>
    <xf numFmtId="165" fontId="4" fillId="4" borderId="5" xfId="0" applyNumberFormat="1" applyFont="1" applyFill="1" applyBorder="1"/>
    <xf numFmtId="165" fontId="0" fillId="0" borderId="0" xfId="0" applyNumberFormat="1"/>
    <xf numFmtId="165" fontId="4" fillId="3" borderId="5" xfId="0" applyNumberFormat="1" applyFont="1" applyFill="1" applyBorder="1"/>
    <xf numFmtId="0" fontId="3" fillId="2" borderId="9" xfId="0" applyFont="1" applyFill="1" applyBorder="1"/>
    <xf numFmtId="0" fontId="4" fillId="2" borderId="5" xfId="0" applyFont="1" applyFill="1" applyBorder="1"/>
    <xf numFmtId="165" fontId="4" fillId="2" borderId="5" xfId="0" applyNumberFormat="1" applyFont="1" applyFill="1" applyBorder="1"/>
    <xf numFmtId="0" fontId="6" fillId="0" borderId="0" xfId="0" applyFont="1"/>
    <xf numFmtId="0" fontId="4" fillId="3" borderId="8" xfId="0" applyFont="1" applyFill="1" applyBorder="1" applyAlignment="1">
      <alignment horizontal="left" indent="1"/>
    </xf>
    <xf numFmtId="0" fontId="4" fillId="3" borderId="9" xfId="0" applyFont="1" applyFill="1" applyBorder="1" applyAlignment="1">
      <alignment horizontal="left" inden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/>
    <xf numFmtId="0" fontId="3" fillId="3" borderId="8" xfId="0" applyFont="1" applyFill="1" applyBorder="1" applyAlignment="1">
      <alignment horizontal="center"/>
    </xf>
    <xf numFmtId="0" fontId="0" fillId="3" borderId="0" xfId="0" applyFill="1"/>
    <xf numFmtId="0" fontId="3" fillId="3" borderId="9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8" borderId="0" xfId="0" applyFill="1"/>
    <xf numFmtId="0" fontId="4" fillId="8" borderId="0" xfId="0" applyFont="1" applyFill="1"/>
    <xf numFmtId="0" fontId="4" fillId="8" borderId="10" xfId="0" applyFont="1" applyFill="1" applyBorder="1"/>
    <xf numFmtId="0" fontId="3" fillId="8" borderId="5" xfId="0" applyFont="1" applyFill="1" applyBorder="1" applyAlignment="1">
      <alignment horizontal="center"/>
    </xf>
    <xf numFmtId="0" fontId="4" fillId="8" borderId="5" xfId="0" applyFont="1" applyFill="1" applyBorder="1"/>
    <xf numFmtId="0" fontId="4" fillId="8" borderId="5" xfId="0" applyFont="1" applyFill="1" applyBorder="1" applyAlignment="1">
      <alignment horizontal="center"/>
    </xf>
    <xf numFmtId="0" fontId="0" fillId="8" borderId="5" xfId="0" applyFill="1" applyBorder="1"/>
    <xf numFmtId="0" fontId="4" fillId="0" borderId="8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indent="1"/>
    </xf>
    <xf numFmtId="0" fontId="2" fillId="8" borderId="0" xfId="0" applyFont="1" applyFill="1"/>
    <xf numFmtId="0" fontId="3" fillId="8" borderId="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4" xfId="0" applyFont="1" applyFill="1" applyBorder="1"/>
    <xf numFmtId="0" fontId="4" fillId="4" borderId="3" xfId="0" applyFont="1" applyFill="1" applyBorder="1" applyAlignment="1"/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3" borderId="3" xfId="0" applyFont="1" applyFill="1" applyBorder="1" applyAlignme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right"/>
    </xf>
    <xf numFmtId="0" fontId="4" fillId="3" borderId="4" xfId="0" applyFont="1" applyFill="1" applyBorder="1" applyAlignment="1"/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12" xfId="0" applyNumberFormat="1" applyFont="1" applyFill="1" applyBorder="1"/>
    <xf numFmtId="0" fontId="4" fillId="3" borderId="14" xfId="0" applyNumberFormat="1" applyFont="1" applyFill="1" applyBorder="1"/>
    <xf numFmtId="0" fontId="3" fillId="5" borderId="7" xfId="0" applyFont="1" applyFill="1" applyBorder="1"/>
    <xf numFmtId="0" fontId="0" fillId="5" borderId="2" xfId="0" applyFill="1" applyBorder="1"/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12" xfId="0" applyNumberFormat="1" applyFont="1" applyFill="1" applyBorder="1"/>
    <xf numFmtId="0" fontId="4" fillId="2" borderId="14" xfId="0" applyNumberFormat="1" applyFont="1" applyFill="1" applyBorder="1"/>
    <xf numFmtId="0" fontId="4" fillId="8" borderId="8" xfId="0" applyFont="1" applyFill="1" applyBorder="1" applyAlignment="1" applyProtection="1">
      <alignment horizontal="left" indent="1"/>
      <protection locked="0"/>
    </xf>
    <xf numFmtId="0" fontId="4" fillId="3" borderId="9" xfId="0" applyFont="1" applyFill="1" applyBorder="1" applyAlignment="1" applyProtection="1">
      <alignment horizontal="left" indent="1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Protection="1">
      <protection locked="0"/>
    </xf>
    <xf numFmtId="0" fontId="9" fillId="8" borderId="12" xfId="0" applyFont="1" applyFill="1" applyBorder="1" applyProtection="1">
      <protection locked="0"/>
    </xf>
    <xf numFmtId="0" fontId="9" fillId="3" borderId="14" xfId="0" applyFont="1" applyFill="1" applyBorder="1" applyProtection="1">
      <protection locked="0"/>
    </xf>
    <xf numFmtId="0" fontId="10" fillId="3" borderId="8" xfId="0" applyFont="1" applyFill="1" applyBorder="1" applyAlignment="1" applyProtection="1">
      <alignment horizontal="left" indent="1"/>
      <protection locked="0"/>
    </xf>
    <xf numFmtId="0" fontId="10" fillId="8" borderId="8" xfId="0" applyFont="1" applyFill="1" applyBorder="1" applyAlignment="1" applyProtection="1">
      <alignment horizontal="left" indent="1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8" borderId="11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/>
    <xf numFmtId="0" fontId="4" fillId="8" borderId="15" xfId="0" applyFont="1" applyFill="1" applyBorder="1" applyAlignment="1">
      <alignment horizontal="center"/>
    </xf>
    <xf numFmtId="0" fontId="10" fillId="8" borderId="10" xfId="0" applyFont="1" applyFill="1" applyBorder="1" applyProtection="1">
      <protection locked="0"/>
    </xf>
    <xf numFmtId="3" fontId="3" fillId="2" borderId="11" xfId="0" applyNumberFormat="1" applyFont="1" applyFill="1" applyBorder="1"/>
    <xf numFmtId="3" fontId="0" fillId="0" borderId="0" xfId="0" applyNumberFormat="1"/>
    <xf numFmtId="0" fontId="4" fillId="0" borderId="19" xfId="0" applyFont="1" applyFill="1" applyBorder="1" applyAlignment="1">
      <alignment horizontal="left" indent="1"/>
    </xf>
    <xf numFmtId="0" fontId="3" fillId="4" borderId="21" xfId="0" quotePrefix="1" applyFont="1" applyFill="1" applyBorder="1"/>
    <xf numFmtId="165" fontId="3" fillId="4" borderId="21" xfId="0" applyNumberFormat="1" applyFont="1" applyFill="1" applyBorder="1"/>
    <xf numFmtId="0" fontId="4" fillId="4" borderId="21" xfId="0" quotePrefix="1" applyFont="1" applyFill="1" applyBorder="1"/>
    <xf numFmtId="0" fontId="4" fillId="4" borderId="22" xfId="0" applyNumberFormat="1" applyFont="1" applyFill="1" applyBorder="1"/>
    <xf numFmtId="165" fontId="3" fillId="0" borderId="19" xfId="0" applyNumberFormat="1" applyFont="1" applyBorder="1"/>
    <xf numFmtId="3" fontId="3" fillId="3" borderId="20" xfId="0" quotePrefix="1" applyNumberFormat="1" applyFont="1" applyFill="1" applyBorder="1"/>
    <xf numFmtId="0" fontId="3" fillId="3" borderId="21" xfId="0" quotePrefix="1" applyFont="1" applyFill="1" applyBorder="1"/>
    <xf numFmtId="0" fontId="3" fillId="0" borderId="19" xfId="0" applyFont="1" applyBorder="1"/>
    <xf numFmtId="3" fontId="3" fillId="4" borderId="11" xfId="0" applyNumberFormat="1" applyFont="1" applyFill="1" applyBorder="1"/>
    <xf numFmtId="0" fontId="3" fillId="4" borderId="8" xfId="0" applyFont="1" applyFill="1" applyBorder="1"/>
    <xf numFmtId="165" fontId="3" fillId="4" borderId="8" xfId="0" applyNumberFormat="1" applyFont="1" applyFill="1" applyBorder="1"/>
    <xf numFmtId="0" fontId="4" fillId="4" borderId="8" xfId="0" quotePrefix="1" applyFont="1" applyFill="1" applyBorder="1"/>
    <xf numFmtId="0" fontId="4" fillId="4" borderId="12" xfId="0" applyNumberFormat="1" applyFont="1" applyFill="1" applyBorder="1"/>
    <xf numFmtId="165" fontId="3" fillId="0" borderId="8" xfId="0" applyNumberFormat="1" applyFont="1" applyBorder="1"/>
    <xf numFmtId="3" fontId="3" fillId="3" borderId="11" xfId="0" quotePrefix="1" applyNumberFormat="1" applyFont="1" applyFill="1" applyBorder="1"/>
    <xf numFmtId="0" fontId="4" fillId="3" borderId="8" xfId="0" quotePrefix="1" applyFont="1" applyFill="1" applyBorder="1"/>
    <xf numFmtId="0" fontId="3" fillId="0" borderId="8" xfId="0" applyFont="1" applyBorder="1"/>
    <xf numFmtId="0" fontId="4" fillId="4" borderId="14" xfId="0" applyNumberFormat="1" applyFont="1" applyFill="1" applyBorder="1"/>
    <xf numFmtId="165" fontId="3" fillId="0" borderId="9" xfId="0" applyNumberFormat="1" applyFont="1" applyBorder="1"/>
    <xf numFmtId="0" fontId="3" fillId="0" borderId="9" xfId="0" applyFont="1" applyBorder="1"/>
    <xf numFmtId="0" fontId="11" fillId="8" borderId="0" xfId="0" applyFont="1" applyFill="1"/>
    <xf numFmtId="0" fontId="11" fillId="3" borderId="0" xfId="0" applyFont="1" applyFill="1"/>
    <xf numFmtId="3" fontId="3" fillId="4" borderId="13" xfId="0" applyNumberFormat="1" applyFont="1" applyFill="1" applyBorder="1"/>
    <xf numFmtId="0" fontId="3" fillId="4" borderId="9" xfId="0" applyFont="1" applyFill="1" applyBorder="1"/>
    <xf numFmtId="165" fontId="3" fillId="4" borderId="9" xfId="0" applyNumberFormat="1" applyFont="1" applyFill="1" applyBorder="1"/>
    <xf numFmtId="0" fontId="4" fillId="4" borderId="9" xfId="0" quotePrefix="1" applyFont="1" applyFill="1" applyBorder="1"/>
    <xf numFmtId="3" fontId="3" fillId="3" borderId="13" xfId="0" quotePrefix="1" applyNumberFormat="1" applyFont="1" applyFill="1" applyBorder="1"/>
    <xf numFmtId="165" fontId="3" fillId="3" borderId="9" xfId="0" applyNumberFormat="1" applyFont="1" applyFill="1" applyBorder="1"/>
    <xf numFmtId="0" fontId="4" fillId="3" borderId="9" xfId="0" quotePrefix="1" applyFont="1" applyFill="1" applyBorder="1"/>
    <xf numFmtId="3" fontId="3" fillId="2" borderId="13" xfId="0" applyNumberFormat="1" applyFont="1" applyFill="1" applyBorder="1"/>
    <xf numFmtId="165" fontId="3" fillId="2" borderId="9" xfId="0" applyNumberFormat="1" applyFont="1" applyFill="1" applyBorder="1"/>
    <xf numFmtId="0" fontId="4" fillId="2" borderId="9" xfId="0" applyFont="1" applyFill="1" applyBorder="1"/>
    <xf numFmtId="3" fontId="4" fillId="4" borderId="15" xfId="0" quotePrefix="1" applyNumberFormat="1" applyFont="1" applyFill="1" applyBorder="1"/>
    <xf numFmtId="0" fontId="4" fillId="4" borderId="10" xfId="0" applyFont="1" applyFill="1" applyBorder="1"/>
    <xf numFmtId="3" fontId="4" fillId="3" borderId="15" xfId="0" quotePrefix="1" applyNumberFormat="1" applyFont="1" applyFill="1" applyBorder="1"/>
    <xf numFmtId="0" fontId="4" fillId="3" borderId="10" xfId="0" applyNumberFormat="1" applyFont="1" applyFill="1" applyBorder="1"/>
    <xf numFmtId="3" fontId="4" fillId="2" borderId="15" xfId="0" applyNumberFormat="1" applyFont="1" applyFill="1" applyBorder="1"/>
    <xf numFmtId="0" fontId="4" fillId="2" borderId="10" xfId="0" applyNumberFormat="1" applyFont="1" applyFill="1" applyBorder="1"/>
    <xf numFmtId="0" fontId="3" fillId="3" borderId="8" xfId="0" quotePrefix="1" applyFont="1" applyFill="1" applyBorder="1"/>
    <xf numFmtId="0" fontId="3" fillId="3" borderId="23" xfId="0" quotePrefix="1" applyFont="1" applyFill="1" applyBorder="1"/>
    <xf numFmtId="0" fontId="0" fillId="0" borderId="0" xfId="0" applyBorder="1"/>
    <xf numFmtId="9" fontId="4" fillId="3" borderId="5" xfId="1" applyFont="1" applyFill="1" applyBorder="1"/>
    <xf numFmtId="0" fontId="0" fillId="3" borderId="5" xfId="0" applyFill="1" applyBorder="1"/>
    <xf numFmtId="9" fontId="4" fillId="4" borderId="5" xfId="1" applyFont="1" applyFill="1" applyBorder="1"/>
    <xf numFmtId="0" fontId="0" fillId="4" borderId="5" xfId="0" applyFill="1" applyBorder="1"/>
    <xf numFmtId="9" fontId="4" fillId="2" borderId="5" xfId="1" applyFont="1" applyFill="1" applyBorder="1"/>
    <xf numFmtId="0" fontId="0" fillId="2" borderId="5" xfId="0" applyFill="1" applyBorder="1"/>
    <xf numFmtId="0" fontId="4" fillId="0" borderId="0" xfId="0" applyFont="1" applyFill="1" applyBorder="1" applyAlignment="1">
      <alignment horizontal="right"/>
    </xf>
    <xf numFmtId="0" fontId="3" fillId="3" borderId="9" xfId="0" quotePrefix="1" applyFont="1" applyFill="1" applyBorder="1"/>
    <xf numFmtId="0" fontId="4" fillId="0" borderId="0" xfId="0" applyFont="1" applyFill="1" applyBorder="1"/>
    <xf numFmtId="0" fontId="4" fillId="2" borderId="15" xfId="0" applyFont="1" applyFill="1" applyBorder="1" applyAlignment="1">
      <alignment horizontal="right"/>
    </xf>
    <xf numFmtId="0" fontId="0" fillId="2" borderId="10" xfId="0" applyFill="1" applyBorder="1"/>
    <xf numFmtId="0" fontId="4" fillId="3" borderId="15" xfId="0" applyFont="1" applyFill="1" applyBorder="1" applyAlignment="1">
      <alignment horizontal="right"/>
    </xf>
    <xf numFmtId="0" fontId="0" fillId="3" borderId="10" xfId="0" applyFill="1" applyBorder="1"/>
    <xf numFmtId="0" fontId="4" fillId="0" borderId="19" xfId="0" applyFont="1" applyFill="1" applyBorder="1" applyAlignment="1">
      <alignment horizontal="right"/>
    </xf>
    <xf numFmtId="9" fontId="4" fillId="2" borderId="24" xfId="1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19" xfId="0" applyBorder="1"/>
    <xf numFmtId="9" fontId="4" fillId="3" borderId="24" xfId="1" applyFont="1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23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9" fontId="4" fillId="2" borderId="8" xfId="1" applyFont="1" applyFill="1" applyBorder="1"/>
    <xf numFmtId="0" fontId="0" fillId="2" borderId="8" xfId="0" applyFill="1" applyBorder="1"/>
    <xf numFmtId="0" fontId="0" fillId="2" borderId="12" xfId="0" applyFill="1" applyBorder="1"/>
    <xf numFmtId="0" fontId="0" fillId="0" borderId="8" xfId="0" applyBorder="1"/>
    <xf numFmtId="0" fontId="3" fillId="3" borderId="11" xfId="0" quotePrefix="1" applyFont="1" applyFill="1" applyBorder="1"/>
    <xf numFmtId="9" fontId="4" fillId="3" borderId="8" xfId="1" applyFont="1" applyFill="1" applyBorder="1"/>
    <xf numFmtId="0" fontId="0" fillId="3" borderId="8" xfId="0" applyFill="1" applyBorder="1"/>
    <xf numFmtId="0" fontId="0" fillId="3" borderId="12" xfId="0" applyFill="1" applyBorder="1"/>
    <xf numFmtId="0" fontId="4" fillId="2" borderId="11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9" fontId="4" fillId="2" borderId="9" xfId="1" applyFont="1" applyFill="1" applyBorder="1"/>
    <xf numFmtId="0" fontId="0" fillId="2" borderId="9" xfId="0" applyFill="1" applyBorder="1"/>
    <xf numFmtId="0" fontId="0" fillId="2" borderId="14" xfId="0" applyFill="1" applyBorder="1"/>
    <xf numFmtId="0" fontId="0" fillId="0" borderId="9" xfId="0" applyBorder="1"/>
    <xf numFmtId="0" fontId="3" fillId="3" borderId="13" xfId="0" quotePrefix="1" applyFont="1" applyFill="1" applyBorder="1"/>
    <xf numFmtId="9" fontId="4" fillId="3" borderId="9" xfId="1" applyFont="1" applyFill="1" applyBorder="1"/>
    <xf numFmtId="0" fontId="0" fillId="3" borderId="9" xfId="0" applyFill="1" applyBorder="1"/>
    <xf numFmtId="0" fontId="0" fillId="3" borderId="14" xfId="0" applyFill="1" applyBorder="1"/>
    <xf numFmtId="0" fontId="4" fillId="2" borderId="13" xfId="0" applyFont="1" applyFill="1" applyBorder="1" applyAlignment="1">
      <alignment horizontal="right"/>
    </xf>
    <xf numFmtId="0" fontId="3" fillId="4" borderId="23" xfId="0" quotePrefix="1" applyFont="1" applyFill="1" applyBorder="1"/>
    <xf numFmtId="9" fontId="4" fillId="4" borderId="24" xfId="1" applyFont="1" applyFill="1" applyBorder="1"/>
    <xf numFmtId="0" fontId="0" fillId="4" borderId="24" xfId="0" applyFill="1" applyBorder="1"/>
    <xf numFmtId="0" fontId="0" fillId="4" borderId="25" xfId="0" applyFill="1" applyBorder="1"/>
    <xf numFmtId="0" fontId="3" fillId="4" borderId="11" xfId="0" quotePrefix="1" applyFont="1" applyFill="1" applyBorder="1"/>
    <xf numFmtId="9" fontId="4" fillId="4" borderId="8" xfId="1" applyFont="1" applyFill="1" applyBorder="1"/>
    <xf numFmtId="0" fontId="0" fillId="4" borderId="8" xfId="0" applyFill="1" applyBorder="1"/>
    <xf numFmtId="0" fontId="0" fillId="4" borderId="12" xfId="0" applyFill="1" applyBorder="1"/>
    <xf numFmtId="0" fontId="3" fillId="4" borderId="13" xfId="0" quotePrefix="1" applyFont="1" applyFill="1" applyBorder="1"/>
    <xf numFmtId="9" fontId="4" fillId="4" borderId="9" xfId="1" applyFont="1" applyFill="1" applyBorder="1"/>
    <xf numFmtId="0" fontId="0" fillId="4" borderId="9" xfId="0" applyFill="1" applyBorder="1"/>
    <xf numFmtId="0" fontId="0" fillId="4" borderId="14" xfId="0" applyFill="1" applyBorder="1"/>
    <xf numFmtId="0" fontId="4" fillId="4" borderId="15" xfId="0" applyFont="1" applyFill="1" applyBorder="1" applyAlignment="1">
      <alignment horizontal="right"/>
    </xf>
    <xf numFmtId="0" fontId="0" fillId="4" borderId="10" xfId="0" applyFill="1" applyBorder="1"/>
    <xf numFmtId="0" fontId="6" fillId="7" borderId="1" xfId="0" applyFont="1" applyFill="1" applyBorder="1"/>
    <xf numFmtId="0" fontId="6" fillId="7" borderId="7" xfId="0" applyFont="1" applyFill="1" applyBorder="1"/>
    <xf numFmtId="0" fontId="6" fillId="7" borderId="2" xfId="0" applyFont="1" applyFill="1" applyBorder="1"/>
    <xf numFmtId="0" fontId="1" fillId="0" borderId="0" xfId="0" applyFont="1"/>
    <xf numFmtId="0" fontId="6" fillId="6" borderId="1" xfId="0" applyFont="1" applyFill="1" applyBorder="1"/>
    <xf numFmtId="0" fontId="12" fillId="6" borderId="7" xfId="0" applyFont="1" applyFill="1" applyBorder="1"/>
    <xf numFmtId="165" fontId="12" fillId="6" borderId="7" xfId="0" applyNumberFormat="1" applyFont="1" applyFill="1" applyBorder="1"/>
    <xf numFmtId="0" fontId="12" fillId="6" borderId="2" xfId="0" applyFont="1" applyFill="1" applyBorder="1"/>
    <xf numFmtId="0" fontId="12" fillId="0" borderId="0" xfId="0" applyFont="1"/>
    <xf numFmtId="0" fontId="6" fillId="5" borderId="1" xfId="0" applyFont="1" applyFill="1" applyBorder="1"/>
    <xf numFmtId="0" fontId="12" fillId="5" borderId="7" xfId="0" applyFont="1" applyFill="1" applyBorder="1"/>
    <xf numFmtId="0" fontId="4" fillId="0" borderId="5" xfId="0" applyFont="1" applyBorder="1" applyAlignment="1">
      <alignment horizontal="left"/>
    </xf>
    <xf numFmtId="0" fontId="4" fillId="0" borderId="19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6" fillId="7" borderId="3" xfId="0" applyFont="1" applyFill="1" applyBorder="1"/>
    <xf numFmtId="0" fontId="6" fillId="7" borderId="0" xfId="0" applyFont="1" applyFill="1" applyBorder="1"/>
    <xf numFmtId="0" fontId="6" fillId="7" borderId="4" xfId="0" applyFont="1" applyFill="1" applyBorder="1"/>
    <xf numFmtId="0" fontId="6" fillId="6" borderId="3" xfId="0" applyFont="1" applyFill="1" applyBorder="1"/>
    <xf numFmtId="0" fontId="12" fillId="6" borderId="0" xfId="0" applyFont="1" applyFill="1" applyBorder="1"/>
    <xf numFmtId="0" fontId="12" fillId="6" borderId="4" xfId="0" applyFont="1" applyFill="1" applyBorder="1"/>
    <xf numFmtId="0" fontId="6" fillId="5" borderId="3" xfId="0" applyFont="1" applyFill="1" applyBorder="1"/>
    <xf numFmtId="0" fontId="12" fillId="5" borderId="0" xfId="0" applyFont="1" applyFill="1" applyBorder="1"/>
    <xf numFmtId="0" fontId="0" fillId="5" borderId="4" xfId="0" applyFill="1" applyBorder="1"/>
    <xf numFmtId="0" fontId="2" fillId="8" borderId="0" xfId="0" applyFont="1" applyFill="1" applyAlignment="1">
      <alignment horizontal="right"/>
    </xf>
    <xf numFmtId="0" fontId="4" fillId="0" borderId="0" xfId="0" applyFont="1" applyFill="1" applyProtection="1"/>
    <xf numFmtId="9" fontId="6" fillId="7" borderId="0" xfId="0" applyNumberFormat="1" applyFont="1" applyFill="1" applyBorder="1"/>
    <xf numFmtId="0" fontId="6" fillId="6" borderId="0" xfId="0" applyFont="1" applyFill="1" applyBorder="1"/>
    <xf numFmtId="0" fontId="6" fillId="5" borderId="0" xfId="0" applyFont="1" applyFill="1" applyBorder="1"/>
    <xf numFmtId="9" fontId="6" fillId="5" borderId="0" xfId="1" applyFont="1" applyFill="1" applyBorder="1"/>
    <xf numFmtId="9" fontId="6" fillId="6" borderId="0" xfId="1" applyFont="1" applyFill="1" applyBorder="1"/>
    <xf numFmtId="0" fontId="9" fillId="9" borderId="26" xfId="0" applyFont="1" applyFill="1" applyBorder="1" applyAlignment="1" applyProtection="1">
      <alignment horizontal="center"/>
      <protection locked="0"/>
    </xf>
    <xf numFmtId="0" fontId="9" fillId="10" borderId="27" xfId="0" applyFont="1" applyFill="1" applyBorder="1" applyAlignment="1" applyProtection="1">
      <alignment horizontal="center"/>
      <protection locked="0"/>
    </xf>
    <xf numFmtId="0" fontId="9" fillId="9" borderId="27" xfId="0" applyFont="1" applyFill="1" applyBorder="1" applyAlignment="1" applyProtection="1">
      <alignment horizontal="center"/>
      <protection locked="0"/>
    </xf>
    <xf numFmtId="0" fontId="9" fillId="9" borderId="28" xfId="0" applyFont="1" applyFill="1" applyBorder="1" applyAlignment="1" applyProtection="1">
      <alignment horizontal="center"/>
      <protection locked="0"/>
    </xf>
    <xf numFmtId="0" fontId="9" fillId="10" borderId="29" xfId="0" applyFont="1" applyFill="1" applyBorder="1" applyAlignment="1" applyProtection="1">
      <alignment horizontal="center"/>
      <protection locked="0"/>
    </xf>
    <xf numFmtId="0" fontId="9" fillId="9" borderId="29" xfId="0" applyFont="1" applyFill="1" applyBorder="1" applyAlignment="1" applyProtection="1">
      <alignment horizontal="center"/>
      <protection locked="0"/>
    </xf>
    <xf numFmtId="0" fontId="13" fillId="10" borderId="32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0" fillId="10" borderId="34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quotePrefix="1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4" fillId="0" borderId="0" xfId="0" applyFont="1" applyBorder="1"/>
    <xf numFmtId="3" fontId="3" fillId="4" borderId="11" xfId="0" quotePrefix="1" applyNumberFormat="1" applyFont="1" applyFill="1" applyBorder="1"/>
    <xf numFmtId="0" fontId="6" fillId="11" borderId="1" xfId="0" applyFont="1" applyFill="1" applyBorder="1"/>
    <xf numFmtId="0" fontId="6" fillId="11" borderId="7" xfId="0" applyFont="1" applyFill="1" applyBorder="1"/>
    <xf numFmtId="0" fontId="6" fillId="11" borderId="2" xfId="0" applyFont="1" applyFill="1" applyBorder="1"/>
    <xf numFmtId="0" fontId="6" fillId="11" borderId="3" xfId="0" applyFont="1" applyFill="1" applyBorder="1"/>
    <xf numFmtId="9" fontId="6" fillId="11" borderId="0" xfId="0" applyNumberFormat="1" applyFont="1" applyFill="1" applyBorder="1"/>
    <xf numFmtId="0" fontId="6" fillId="11" borderId="0" xfId="0" applyFont="1" applyFill="1" applyBorder="1"/>
    <xf numFmtId="0" fontId="6" fillId="11" borderId="4" xfId="0" applyFont="1" applyFill="1" applyBorder="1"/>
    <xf numFmtId="0" fontId="4" fillId="12" borderId="3" xfId="0" applyFont="1" applyFill="1" applyBorder="1" applyAlignment="1"/>
    <xf numFmtId="0" fontId="4" fillId="12" borderId="0" xfId="0" applyFont="1" applyFill="1" applyBorder="1" applyAlignment="1"/>
    <xf numFmtId="0" fontId="4" fillId="12" borderId="0" xfId="0" applyFont="1" applyFill="1" applyBorder="1" applyAlignment="1">
      <alignment horizontal="right"/>
    </xf>
    <xf numFmtId="0" fontId="4" fillId="12" borderId="4" xfId="0" applyFont="1" applyFill="1" applyBorder="1" applyAlignment="1"/>
    <xf numFmtId="0" fontId="4" fillId="12" borderId="3" xfId="0" applyFont="1" applyFill="1" applyBorder="1" applyAlignment="1">
      <alignment horizontal="right"/>
    </xf>
    <xf numFmtId="0" fontId="4" fillId="12" borderId="4" xfId="0" applyFont="1" applyFill="1" applyBorder="1" applyAlignment="1">
      <alignment horizontal="right"/>
    </xf>
    <xf numFmtId="3" fontId="3" fillId="12" borderId="11" xfId="0" quotePrefix="1" applyNumberFormat="1" applyFont="1" applyFill="1" applyBorder="1"/>
    <xf numFmtId="165" fontId="3" fillId="12" borderId="21" xfId="0" applyNumberFormat="1" applyFont="1" applyFill="1" applyBorder="1"/>
    <xf numFmtId="0" fontId="4" fillId="12" borderId="21" xfId="0" quotePrefix="1" applyFont="1" applyFill="1" applyBorder="1"/>
    <xf numFmtId="0" fontId="4" fillId="12" borderId="22" xfId="0" applyNumberFormat="1" applyFont="1" applyFill="1" applyBorder="1"/>
    <xf numFmtId="165" fontId="3" fillId="12" borderId="8" xfId="0" applyNumberFormat="1" applyFont="1" applyFill="1" applyBorder="1"/>
    <xf numFmtId="0" fontId="4" fillId="12" borderId="8" xfId="0" quotePrefix="1" applyFont="1" applyFill="1" applyBorder="1"/>
    <xf numFmtId="0" fontId="4" fillId="12" borderId="12" xfId="0" applyNumberFormat="1" applyFont="1" applyFill="1" applyBorder="1"/>
    <xf numFmtId="165" fontId="3" fillId="12" borderId="9" xfId="0" applyNumberFormat="1" applyFont="1" applyFill="1" applyBorder="1"/>
    <xf numFmtId="0" fontId="4" fillId="12" borderId="9" xfId="0" quotePrefix="1" applyFont="1" applyFill="1" applyBorder="1"/>
    <xf numFmtId="0" fontId="4" fillId="12" borderId="14" xfId="0" applyNumberFormat="1" applyFont="1" applyFill="1" applyBorder="1"/>
    <xf numFmtId="3" fontId="4" fillId="12" borderId="15" xfId="0" quotePrefix="1" applyNumberFormat="1" applyFont="1" applyFill="1" applyBorder="1"/>
    <xf numFmtId="0" fontId="4" fillId="12" borderId="5" xfId="0" applyFont="1" applyFill="1" applyBorder="1"/>
    <xf numFmtId="165" fontId="4" fillId="12" borderId="5" xfId="0" applyNumberFormat="1" applyFont="1" applyFill="1" applyBorder="1"/>
    <xf numFmtId="0" fontId="4" fillId="12" borderId="10" xfId="0" applyFont="1" applyFill="1" applyBorder="1"/>
    <xf numFmtId="0" fontId="3" fillId="12" borderId="23" xfId="0" quotePrefix="1" applyFont="1" applyFill="1" applyBorder="1"/>
    <xf numFmtId="9" fontId="4" fillId="12" borderId="24" xfId="1" applyFont="1" applyFill="1" applyBorder="1"/>
    <xf numFmtId="0" fontId="0" fillId="12" borderId="24" xfId="0" applyFill="1" applyBorder="1"/>
    <xf numFmtId="0" fontId="0" fillId="12" borderId="25" xfId="0" applyFill="1" applyBorder="1"/>
    <xf numFmtId="0" fontId="3" fillId="12" borderId="11" xfId="0" quotePrefix="1" applyFont="1" applyFill="1" applyBorder="1"/>
    <xf numFmtId="9" fontId="4" fillId="12" borderId="8" xfId="1" applyFont="1" applyFill="1" applyBorder="1"/>
    <xf numFmtId="0" fontId="0" fillId="12" borderId="8" xfId="0" applyFill="1" applyBorder="1"/>
    <xf numFmtId="0" fontId="0" fillId="12" borderId="12" xfId="0" applyFill="1" applyBorder="1"/>
    <xf numFmtId="0" fontId="3" fillId="12" borderId="13" xfId="0" quotePrefix="1" applyFont="1" applyFill="1" applyBorder="1"/>
    <xf numFmtId="9" fontId="4" fillId="12" borderId="9" xfId="1" applyFont="1" applyFill="1" applyBorder="1"/>
    <xf numFmtId="0" fontId="0" fillId="12" borderId="9" xfId="0" applyFill="1" applyBorder="1"/>
    <xf numFmtId="0" fontId="0" fillId="12" borderId="14" xfId="0" applyFill="1" applyBorder="1"/>
    <xf numFmtId="0" fontId="4" fillId="12" borderId="15" xfId="0" applyFont="1" applyFill="1" applyBorder="1" applyAlignment="1">
      <alignment horizontal="right"/>
    </xf>
    <xf numFmtId="9" fontId="4" fillId="12" borderId="5" xfId="1" applyFont="1" applyFill="1" applyBorder="1"/>
    <xf numFmtId="0" fontId="0" fillId="12" borderId="5" xfId="0" applyFill="1" applyBorder="1"/>
    <xf numFmtId="0" fontId="0" fillId="12" borderId="10" xfId="0" applyFill="1" applyBorder="1"/>
    <xf numFmtId="0" fontId="6" fillId="13" borderId="1" xfId="0" applyFont="1" applyFill="1" applyBorder="1"/>
    <xf numFmtId="0" fontId="12" fillId="13" borderId="7" xfId="0" applyFont="1" applyFill="1" applyBorder="1"/>
    <xf numFmtId="165" fontId="12" fillId="13" borderId="7" xfId="0" applyNumberFormat="1" applyFont="1" applyFill="1" applyBorder="1"/>
    <xf numFmtId="0" fontId="12" fillId="13" borderId="2" xfId="0" applyFont="1" applyFill="1" applyBorder="1"/>
    <xf numFmtId="0" fontId="6" fillId="13" borderId="3" xfId="0" applyFont="1" applyFill="1" applyBorder="1"/>
    <xf numFmtId="0" fontId="12" fillId="13" borderId="0" xfId="0" applyFont="1" applyFill="1" applyBorder="1"/>
    <xf numFmtId="9" fontId="6" fillId="13" borderId="0" xfId="1" applyFont="1" applyFill="1" applyBorder="1"/>
    <xf numFmtId="0" fontId="6" fillId="13" borderId="0" xfId="0" applyFont="1" applyFill="1" applyBorder="1"/>
    <xf numFmtId="0" fontId="12" fillId="13" borderId="4" xfId="0" applyFont="1" applyFill="1" applyBorder="1"/>
    <xf numFmtId="0" fontId="4" fillId="14" borderId="3" xfId="0" applyFont="1" applyFill="1" applyBorder="1" applyAlignment="1"/>
    <xf numFmtId="0" fontId="4" fillId="14" borderId="0" xfId="0" applyFont="1" applyFill="1" applyBorder="1" applyAlignment="1"/>
    <xf numFmtId="0" fontId="4" fillId="14" borderId="0" xfId="0" applyFont="1" applyFill="1" applyBorder="1" applyAlignment="1">
      <alignment horizontal="right"/>
    </xf>
    <xf numFmtId="0" fontId="4" fillId="14" borderId="4" xfId="0" applyFont="1" applyFill="1" applyBorder="1" applyAlignment="1"/>
    <xf numFmtId="0" fontId="4" fillId="14" borderId="3" xfId="0" applyFont="1" applyFill="1" applyBorder="1" applyAlignment="1">
      <alignment horizontal="right"/>
    </xf>
    <xf numFmtId="0" fontId="4" fillId="14" borderId="4" xfId="0" applyFont="1" applyFill="1" applyBorder="1" applyAlignment="1">
      <alignment horizontal="right"/>
    </xf>
    <xf numFmtId="165" fontId="3" fillId="14" borderId="8" xfId="0" applyNumberFormat="1" applyFont="1" applyFill="1" applyBorder="1"/>
    <xf numFmtId="0" fontId="4" fillId="14" borderId="8" xfId="0" quotePrefix="1" applyFont="1" applyFill="1" applyBorder="1"/>
    <xf numFmtId="0" fontId="4" fillId="14" borderId="12" xfId="0" applyNumberFormat="1" applyFont="1" applyFill="1" applyBorder="1"/>
    <xf numFmtId="165" fontId="3" fillId="14" borderId="9" xfId="0" applyNumberFormat="1" applyFont="1" applyFill="1" applyBorder="1"/>
    <xf numFmtId="0" fontId="4" fillId="14" borderId="9" xfId="0" quotePrefix="1" applyFont="1" applyFill="1" applyBorder="1"/>
    <xf numFmtId="0" fontId="4" fillId="14" borderId="14" xfId="0" applyNumberFormat="1" applyFont="1" applyFill="1" applyBorder="1"/>
    <xf numFmtId="3" fontId="4" fillId="14" borderId="15" xfId="0" quotePrefix="1" applyNumberFormat="1" applyFont="1" applyFill="1" applyBorder="1"/>
    <xf numFmtId="0" fontId="4" fillId="14" borderId="5" xfId="0" applyFont="1" applyFill="1" applyBorder="1"/>
    <xf numFmtId="165" fontId="4" fillId="14" borderId="5" xfId="0" applyNumberFormat="1" applyFont="1" applyFill="1" applyBorder="1"/>
    <xf numFmtId="0" fontId="4" fillId="14" borderId="10" xfId="0" applyNumberFormat="1" applyFont="1" applyFill="1" applyBorder="1"/>
    <xf numFmtId="0" fontId="3" fillId="14" borderId="23" xfId="0" quotePrefix="1" applyFont="1" applyFill="1" applyBorder="1"/>
    <xf numFmtId="9" fontId="4" fillId="14" borderId="24" xfId="1" applyFont="1" applyFill="1" applyBorder="1"/>
    <xf numFmtId="0" fontId="0" fillId="14" borderId="24" xfId="0" applyFill="1" applyBorder="1"/>
    <xf numFmtId="0" fontId="0" fillId="14" borderId="25" xfId="0" applyFill="1" applyBorder="1"/>
    <xf numFmtId="0" fontId="3" fillId="14" borderId="11" xfId="0" quotePrefix="1" applyFont="1" applyFill="1" applyBorder="1"/>
    <xf numFmtId="9" fontId="4" fillId="14" borderId="8" xfId="1" applyFont="1" applyFill="1" applyBorder="1"/>
    <xf numFmtId="0" fontId="0" fillId="14" borderId="8" xfId="0" applyFill="1" applyBorder="1"/>
    <xf numFmtId="0" fontId="0" fillId="14" borderId="12" xfId="0" applyFill="1" applyBorder="1"/>
    <xf numFmtId="0" fontId="3" fillId="14" borderId="13" xfId="0" quotePrefix="1" applyFont="1" applyFill="1" applyBorder="1"/>
    <xf numFmtId="9" fontId="4" fillId="14" borderId="9" xfId="1" applyFont="1" applyFill="1" applyBorder="1"/>
    <xf numFmtId="0" fontId="0" fillId="14" borderId="9" xfId="0" applyFill="1" applyBorder="1"/>
    <xf numFmtId="0" fontId="0" fillId="14" borderId="14" xfId="0" applyFill="1" applyBorder="1"/>
    <xf numFmtId="0" fontId="4" fillId="14" borderId="15" xfId="0" applyFont="1" applyFill="1" applyBorder="1" applyAlignment="1">
      <alignment horizontal="right"/>
    </xf>
    <xf numFmtId="9" fontId="4" fillId="14" borderId="5" xfId="1" applyFont="1" applyFill="1" applyBorder="1"/>
    <xf numFmtId="0" fontId="0" fillId="14" borderId="5" xfId="0" applyFill="1" applyBorder="1"/>
    <xf numFmtId="0" fontId="0" fillId="14" borderId="10" xfId="0" applyFill="1" applyBorder="1"/>
    <xf numFmtId="0" fontId="3" fillId="12" borderId="36" xfId="0" quotePrefix="1" applyFont="1" applyFill="1" applyBorder="1"/>
    <xf numFmtId="0" fontId="3" fillId="12" borderId="19" xfId="0" quotePrefix="1" applyFont="1" applyFill="1" applyBorder="1"/>
    <xf numFmtId="0" fontId="3" fillId="12" borderId="8" xfId="0" quotePrefix="1" applyFont="1" applyFill="1" applyBorder="1"/>
    <xf numFmtId="3" fontId="3" fillId="14" borderId="37" xfId="0" quotePrefix="1" applyNumberFormat="1" applyFont="1" applyFill="1" applyBorder="1"/>
    <xf numFmtId="0" fontId="3" fillId="14" borderId="36" xfId="0" quotePrefix="1" applyFont="1" applyFill="1" applyBorder="1"/>
    <xf numFmtId="3" fontId="3" fillId="14" borderId="38" xfId="0" quotePrefix="1" applyNumberFormat="1" applyFont="1" applyFill="1" applyBorder="1"/>
    <xf numFmtId="0" fontId="3" fillId="14" borderId="19" xfId="0" quotePrefix="1" applyFont="1" applyFill="1" applyBorder="1"/>
    <xf numFmtId="3" fontId="3" fillId="14" borderId="11" xfId="0" quotePrefix="1" applyNumberFormat="1" applyFont="1" applyFill="1" applyBorder="1"/>
    <xf numFmtId="0" fontId="3" fillId="14" borderId="8" xfId="0" quotePrefix="1" applyFont="1" applyFill="1" applyBorder="1"/>
    <xf numFmtId="164" fontId="10" fillId="10" borderId="0" xfId="0" applyNumberFormat="1" applyFont="1" applyFill="1" applyBorder="1" applyAlignment="1" applyProtection="1">
      <alignment horizontal="center"/>
      <protection locked="0"/>
    </xf>
    <xf numFmtId="165" fontId="3" fillId="8" borderId="5" xfId="0" applyNumberFormat="1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164" fontId="10" fillId="10" borderId="0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 applyAlignment="1">
      <alignment horizontal="right" wrapText="1"/>
    </xf>
    <xf numFmtId="0" fontId="3" fillId="0" borderId="19" xfId="0" applyFont="1" applyFill="1" applyBorder="1" applyAlignment="1">
      <alignment horizontal="right" indent="1"/>
    </xf>
    <xf numFmtId="165" fontId="3" fillId="0" borderId="0" xfId="0" applyNumberFormat="1" applyFont="1"/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0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164" fontId="16" fillId="10" borderId="0" xfId="2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left"/>
    </xf>
    <xf numFmtId="0" fontId="10" fillId="8" borderId="1" xfId="0" applyFont="1" applyFill="1" applyBorder="1" applyAlignment="1" applyProtection="1">
      <alignment horizontal="center"/>
      <protection locked="0"/>
    </xf>
    <xf numFmtId="0" fontId="10" fillId="8" borderId="7" xfId="0" applyFont="1" applyFill="1" applyBorder="1" applyAlignment="1" applyProtection="1">
      <alignment horizontal="center"/>
      <protection locked="0"/>
    </xf>
    <xf numFmtId="0" fontId="10" fillId="8" borderId="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0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0" fillId="10" borderId="1" xfId="0" applyFont="1" applyFill="1" applyBorder="1" applyAlignment="1" applyProtection="1">
      <alignment horizontal="center"/>
      <protection locked="0"/>
    </xf>
    <xf numFmtId="0" fontId="10" fillId="10" borderId="7" xfId="0" applyFont="1" applyFill="1" applyBorder="1" applyAlignment="1" applyProtection="1">
      <alignment horizontal="center"/>
      <protection locked="0"/>
    </xf>
    <xf numFmtId="0" fontId="10" fillId="10" borderId="30" xfId="0" applyFont="1" applyFill="1" applyBorder="1" applyAlignment="1" applyProtection="1">
      <alignment horizontal="center"/>
      <protection locked="0"/>
    </xf>
    <xf numFmtId="164" fontId="10" fillId="10" borderId="3" xfId="0" applyNumberFormat="1" applyFont="1" applyFill="1" applyBorder="1" applyAlignment="1" applyProtection="1">
      <alignment horizontal="center"/>
      <protection locked="0"/>
    </xf>
    <xf numFmtId="164" fontId="10" fillId="10" borderId="0" xfId="0" applyNumberFormat="1" applyFont="1" applyFill="1" applyBorder="1" applyAlignment="1" applyProtection="1">
      <alignment horizontal="center"/>
      <protection locked="0"/>
    </xf>
    <xf numFmtId="164" fontId="10" fillId="10" borderId="31" xfId="0" applyNumberFormat="1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10" borderId="3" xfId="0" applyFont="1" applyFill="1" applyBorder="1" applyAlignment="1" applyProtection="1">
      <alignment horizontal="center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10" fillId="10" borderId="31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8" borderId="3" xfId="0" applyFont="1" applyFill="1" applyBorder="1" applyAlignment="1" applyProtection="1">
      <alignment horizontal="center"/>
      <protection locked="0"/>
    </xf>
    <xf numFmtId="0" fontId="10" fillId="8" borderId="0" xfId="0" applyFont="1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22" fontId="1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22" fontId="1" fillId="0" borderId="0" xfId="0" applyNumberFormat="1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329"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Cumulative Averages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Trends!$A$4</c:f>
              <c:strCache>
                <c:ptCount val="1"/>
                <c:pt idx="0">
                  <c:v>Dave E (Doc)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Trends!$B$4:$V$4</c:f>
              <c:numCache>
                <c:formatCode>0.0</c:formatCode>
                <c:ptCount val="21"/>
                <c:pt idx="0">
                  <c:v>57</c:v>
                </c:pt>
                <c:pt idx="1">
                  <c:v>52</c:v>
                </c:pt>
                <c:pt idx="2">
                  <c:v>49</c:v>
                </c:pt>
                <c:pt idx="3">
                  <c:v>49</c:v>
                </c:pt>
                <c:pt idx="4">
                  <c:v>51.3</c:v>
                </c:pt>
                <c:pt idx="5">
                  <c:v>51.6</c:v>
                </c:pt>
                <c:pt idx="6">
                  <c:v>50</c:v>
                </c:pt>
                <c:pt idx="7">
                  <c:v>50.3</c:v>
                </c:pt>
                <c:pt idx="8">
                  <c:v>50.3</c:v>
                </c:pt>
                <c:pt idx="9">
                  <c:v>49.8</c:v>
                </c:pt>
                <c:pt idx="10">
                  <c:v>49.8</c:v>
                </c:pt>
                <c:pt idx="11">
                  <c:v>48.8</c:v>
                </c:pt>
                <c:pt idx="12">
                  <c:v>48.5</c:v>
                </c:pt>
                <c:pt idx="13">
                  <c:v>48.8</c:v>
                </c:pt>
                <c:pt idx="14">
                  <c:v>47.8</c:v>
                </c:pt>
                <c:pt idx="15">
                  <c:v>47.8</c:v>
                </c:pt>
                <c:pt idx="16">
                  <c:v>47.4</c:v>
                </c:pt>
                <c:pt idx="17">
                  <c:v>47.4</c:v>
                </c:pt>
                <c:pt idx="18">
                  <c:v>47.4</c:v>
                </c:pt>
                <c:pt idx="19">
                  <c:v>47.2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1B-B343-B7F1-B75393FDF2B3}"/>
            </c:ext>
          </c:extLst>
        </c:ser>
        <c:ser>
          <c:idx val="1"/>
          <c:order val="1"/>
          <c:tx>
            <c:strRef>
              <c:f>Trends!$A$5</c:f>
              <c:strCache>
                <c:ptCount val="1"/>
                <c:pt idx="0">
                  <c:v>Dash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Trends!$B$5:$V$5</c:f>
              <c:numCache>
                <c:formatCode>0.0</c:formatCode>
                <c:ptCount val="21"/>
                <c:pt idx="0">
                  <c:v>48</c:v>
                </c:pt>
                <c:pt idx="1">
                  <c:v>48</c:v>
                </c:pt>
                <c:pt idx="2">
                  <c:v>45</c:v>
                </c:pt>
                <c:pt idx="3">
                  <c:v>46.3</c:v>
                </c:pt>
                <c:pt idx="4">
                  <c:v>47.3</c:v>
                </c:pt>
                <c:pt idx="5">
                  <c:v>45.4</c:v>
                </c:pt>
                <c:pt idx="6">
                  <c:v>45.4</c:v>
                </c:pt>
                <c:pt idx="7">
                  <c:v>45.4</c:v>
                </c:pt>
                <c:pt idx="8">
                  <c:v>45.4</c:v>
                </c:pt>
                <c:pt idx="9">
                  <c:v>45.4</c:v>
                </c:pt>
                <c:pt idx="10">
                  <c:v>45.4</c:v>
                </c:pt>
                <c:pt idx="11">
                  <c:v>47</c:v>
                </c:pt>
                <c:pt idx="12">
                  <c:v>46</c:v>
                </c:pt>
                <c:pt idx="13">
                  <c:v>44.4</c:v>
                </c:pt>
                <c:pt idx="14">
                  <c:v>43.3</c:v>
                </c:pt>
                <c:pt idx="15">
                  <c:v>43.2</c:v>
                </c:pt>
                <c:pt idx="16">
                  <c:v>43.8</c:v>
                </c:pt>
                <c:pt idx="17">
                  <c:v>43.8</c:v>
                </c:pt>
                <c:pt idx="18">
                  <c:v>44</c:v>
                </c:pt>
                <c:pt idx="19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1B-B343-B7F1-B75393FDF2B3}"/>
            </c:ext>
          </c:extLst>
        </c:ser>
        <c:ser>
          <c:idx val="2"/>
          <c:order val="2"/>
          <c:tx>
            <c:strRef>
              <c:f>Trends!$A$6</c:f>
              <c:strCache>
                <c:ptCount val="1"/>
                <c:pt idx="0">
                  <c:v>Lyndon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Trends!$B$6:$V$6</c:f>
              <c:numCache>
                <c:formatCode>0.0</c:formatCode>
                <c:ptCount val="2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42.7</c:v>
                </c:pt>
                <c:pt idx="5">
                  <c:v>42.7</c:v>
                </c:pt>
                <c:pt idx="6">
                  <c:v>43.5</c:v>
                </c:pt>
                <c:pt idx="7">
                  <c:v>43.5</c:v>
                </c:pt>
                <c:pt idx="8">
                  <c:v>43</c:v>
                </c:pt>
                <c:pt idx="9">
                  <c:v>43.5</c:v>
                </c:pt>
                <c:pt idx="10">
                  <c:v>43.5</c:v>
                </c:pt>
                <c:pt idx="11">
                  <c:v>43.5</c:v>
                </c:pt>
                <c:pt idx="12">
                  <c:v>43.5</c:v>
                </c:pt>
                <c:pt idx="13">
                  <c:v>43.5</c:v>
                </c:pt>
                <c:pt idx="14">
                  <c:v>43.5</c:v>
                </c:pt>
                <c:pt idx="15">
                  <c:v>44.3</c:v>
                </c:pt>
                <c:pt idx="16">
                  <c:v>44.3</c:v>
                </c:pt>
                <c:pt idx="17">
                  <c:v>44.3</c:v>
                </c:pt>
                <c:pt idx="18">
                  <c:v>44.3</c:v>
                </c:pt>
                <c:pt idx="19">
                  <c:v>44.3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1B-B343-B7F1-B75393FDF2B3}"/>
            </c:ext>
          </c:extLst>
        </c:ser>
        <c:ser>
          <c:idx val="3"/>
          <c:order val="3"/>
          <c:tx>
            <c:strRef>
              <c:f>Trends!$A$7</c:f>
              <c:strCache>
                <c:ptCount val="1"/>
                <c:pt idx="0">
                  <c:v>Rich 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Trends!$B$7:$V$7</c:f>
              <c:numCache>
                <c:formatCode>0.0</c:formatCode>
                <c:ptCount val="21"/>
                <c:pt idx="0">
                  <c:v>41</c:v>
                </c:pt>
                <c:pt idx="1">
                  <c:v>38.5</c:v>
                </c:pt>
                <c:pt idx="2">
                  <c:v>39.700000000000003</c:v>
                </c:pt>
                <c:pt idx="3">
                  <c:v>42.5</c:v>
                </c:pt>
                <c:pt idx="4">
                  <c:v>43.6</c:v>
                </c:pt>
                <c:pt idx="5">
                  <c:v>45</c:v>
                </c:pt>
                <c:pt idx="6">
                  <c:v>45.3</c:v>
                </c:pt>
                <c:pt idx="7">
                  <c:v>46</c:v>
                </c:pt>
                <c:pt idx="8">
                  <c:v>46</c:v>
                </c:pt>
                <c:pt idx="9">
                  <c:v>45.9</c:v>
                </c:pt>
                <c:pt idx="10">
                  <c:v>45.8</c:v>
                </c:pt>
                <c:pt idx="11">
                  <c:v>46.6</c:v>
                </c:pt>
                <c:pt idx="12">
                  <c:v>46.3</c:v>
                </c:pt>
                <c:pt idx="13">
                  <c:v>46.3</c:v>
                </c:pt>
                <c:pt idx="14">
                  <c:v>46.4</c:v>
                </c:pt>
                <c:pt idx="15">
                  <c:v>46.2</c:v>
                </c:pt>
                <c:pt idx="16">
                  <c:v>47.1</c:v>
                </c:pt>
                <c:pt idx="17">
                  <c:v>47.6</c:v>
                </c:pt>
                <c:pt idx="18">
                  <c:v>48.2</c:v>
                </c:pt>
                <c:pt idx="19">
                  <c:v>48.3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1B-B343-B7F1-B75393FDF2B3}"/>
            </c:ext>
          </c:extLst>
        </c:ser>
        <c:ser>
          <c:idx val="4"/>
          <c:order val="4"/>
          <c:tx>
            <c:strRef>
              <c:f>Trends!$A$8</c:f>
              <c:strCache>
                <c:ptCount val="1"/>
                <c:pt idx="0">
                  <c:v>John 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Trends!$B$8:$V$8</c:f>
              <c:numCache>
                <c:formatCode>0.0</c:formatCode>
                <c:ptCount val="21"/>
                <c:pt idx="0">
                  <c:v>51</c:v>
                </c:pt>
                <c:pt idx="1">
                  <c:v>51</c:v>
                </c:pt>
                <c:pt idx="2">
                  <c:v>48</c:v>
                </c:pt>
                <c:pt idx="3">
                  <c:v>48.3</c:v>
                </c:pt>
                <c:pt idx="4">
                  <c:v>48.3</c:v>
                </c:pt>
                <c:pt idx="5">
                  <c:v>47.5</c:v>
                </c:pt>
                <c:pt idx="6">
                  <c:v>47.5</c:v>
                </c:pt>
                <c:pt idx="7">
                  <c:v>47.2</c:v>
                </c:pt>
                <c:pt idx="8">
                  <c:v>47.2</c:v>
                </c:pt>
                <c:pt idx="9">
                  <c:v>46.3</c:v>
                </c:pt>
                <c:pt idx="10">
                  <c:v>46.3</c:v>
                </c:pt>
                <c:pt idx="11">
                  <c:v>47.6</c:v>
                </c:pt>
                <c:pt idx="12">
                  <c:v>46.3</c:v>
                </c:pt>
                <c:pt idx="13">
                  <c:v>46</c:v>
                </c:pt>
                <c:pt idx="14">
                  <c:v>46.3</c:v>
                </c:pt>
                <c:pt idx="15">
                  <c:v>46.3</c:v>
                </c:pt>
                <c:pt idx="16">
                  <c:v>47</c:v>
                </c:pt>
                <c:pt idx="17">
                  <c:v>46.5</c:v>
                </c:pt>
                <c:pt idx="18">
                  <c:v>45.9</c:v>
                </c:pt>
                <c:pt idx="19">
                  <c:v>45.9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1B-B343-B7F1-B75393FDF2B3}"/>
            </c:ext>
          </c:extLst>
        </c:ser>
        <c:ser>
          <c:idx val="5"/>
          <c:order val="5"/>
          <c:tx>
            <c:strRef>
              <c:f>Trends!$A$9</c:f>
              <c:strCache>
                <c:ptCount val="1"/>
                <c:pt idx="0">
                  <c:v>Rod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Trends!$B$9:$V$9</c:f>
              <c:numCache>
                <c:formatCode>0.0</c:formatCode>
                <c:ptCount val="21"/>
                <c:pt idx="0">
                  <c:v>41</c:v>
                </c:pt>
                <c:pt idx="1">
                  <c:v>40.5</c:v>
                </c:pt>
                <c:pt idx="2">
                  <c:v>41</c:v>
                </c:pt>
                <c:pt idx="3">
                  <c:v>45</c:v>
                </c:pt>
                <c:pt idx="4">
                  <c:v>45</c:v>
                </c:pt>
                <c:pt idx="5">
                  <c:v>46</c:v>
                </c:pt>
                <c:pt idx="6">
                  <c:v>45.5</c:v>
                </c:pt>
                <c:pt idx="7">
                  <c:v>45.5</c:v>
                </c:pt>
                <c:pt idx="8">
                  <c:v>44.7</c:v>
                </c:pt>
                <c:pt idx="9">
                  <c:v>45.5</c:v>
                </c:pt>
                <c:pt idx="10">
                  <c:v>46.3</c:v>
                </c:pt>
                <c:pt idx="11">
                  <c:v>45.4</c:v>
                </c:pt>
                <c:pt idx="12">
                  <c:v>44.7</c:v>
                </c:pt>
                <c:pt idx="13">
                  <c:v>44.7</c:v>
                </c:pt>
                <c:pt idx="14">
                  <c:v>44.1</c:v>
                </c:pt>
                <c:pt idx="15">
                  <c:v>44.2</c:v>
                </c:pt>
                <c:pt idx="16">
                  <c:v>44.2</c:v>
                </c:pt>
                <c:pt idx="17">
                  <c:v>44.2</c:v>
                </c:pt>
                <c:pt idx="18">
                  <c:v>44.8</c:v>
                </c:pt>
                <c:pt idx="19">
                  <c:v>44.6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1B-B343-B7F1-B75393FDF2B3}"/>
            </c:ext>
          </c:extLst>
        </c:ser>
        <c:ser>
          <c:idx val="6"/>
          <c:order val="6"/>
          <c:tx>
            <c:strRef>
              <c:f>Trends!$A$10</c:f>
              <c:strCache>
                <c:ptCount val="1"/>
                <c:pt idx="0">
                  <c:v>Rich W</c:v>
                </c:pt>
              </c:strCache>
            </c:strRef>
          </c:tx>
          <c:spPr>
            <a:ln w="28575" cap="rnd" cmpd="dbl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Trends!$B$10:$V$10</c:f>
              <c:numCache>
                <c:formatCode>0.0</c:formatCode>
                <c:ptCount val="21"/>
                <c:pt idx="0">
                  <c:v>43</c:v>
                </c:pt>
                <c:pt idx="1">
                  <c:v>38.5</c:v>
                </c:pt>
                <c:pt idx="2">
                  <c:v>41.3</c:v>
                </c:pt>
                <c:pt idx="3">
                  <c:v>45.3</c:v>
                </c:pt>
                <c:pt idx="4">
                  <c:v>44.2</c:v>
                </c:pt>
                <c:pt idx="5">
                  <c:v>44</c:v>
                </c:pt>
                <c:pt idx="6">
                  <c:v>43.4</c:v>
                </c:pt>
                <c:pt idx="7">
                  <c:v>45.5</c:v>
                </c:pt>
                <c:pt idx="8">
                  <c:v>45.8</c:v>
                </c:pt>
                <c:pt idx="9">
                  <c:v>45.3</c:v>
                </c:pt>
                <c:pt idx="10">
                  <c:v>45.3</c:v>
                </c:pt>
                <c:pt idx="11">
                  <c:v>45.3</c:v>
                </c:pt>
                <c:pt idx="12">
                  <c:v>45.3</c:v>
                </c:pt>
                <c:pt idx="13">
                  <c:v>45.3</c:v>
                </c:pt>
                <c:pt idx="14">
                  <c:v>45.3</c:v>
                </c:pt>
                <c:pt idx="15">
                  <c:v>45.3</c:v>
                </c:pt>
                <c:pt idx="16">
                  <c:v>44.6</c:v>
                </c:pt>
                <c:pt idx="17">
                  <c:v>44.3</c:v>
                </c:pt>
                <c:pt idx="18">
                  <c:v>44.3</c:v>
                </c:pt>
                <c:pt idx="19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B1B-B343-B7F1-B75393FDF2B3}"/>
            </c:ext>
          </c:extLst>
        </c:ser>
        <c:ser>
          <c:idx val="7"/>
          <c:order val="7"/>
          <c:tx>
            <c:strRef>
              <c:f>Trends!$A$11</c:f>
              <c:strCache>
                <c:ptCount val="1"/>
                <c:pt idx="0">
                  <c:v>Pete 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Trends!$B$11:$V$11</c:f>
              <c:numCache>
                <c:formatCode>0.0</c:formatCode>
                <c:ptCount val="21"/>
                <c:pt idx="1">
                  <c:v>40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40.5</c:v>
                </c:pt>
                <c:pt idx="7">
                  <c:v>40.4</c:v>
                </c:pt>
                <c:pt idx="8">
                  <c:v>40.799999999999997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40.700000000000003</c:v>
                </c:pt>
                <c:pt idx="12">
                  <c:v>40.700000000000003</c:v>
                </c:pt>
                <c:pt idx="13">
                  <c:v>41.3</c:v>
                </c:pt>
                <c:pt idx="14">
                  <c:v>40.700000000000003</c:v>
                </c:pt>
                <c:pt idx="15">
                  <c:v>41</c:v>
                </c:pt>
                <c:pt idx="16">
                  <c:v>40.700000000000003</c:v>
                </c:pt>
                <c:pt idx="17">
                  <c:v>41.4</c:v>
                </c:pt>
                <c:pt idx="18">
                  <c:v>41.4</c:v>
                </c:pt>
                <c:pt idx="19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B1B-B343-B7F1-B75393FDF2B3}"/>
            </c:ext>
          </c:extLst>
        </c:ser>
        <c:ser>
          <c:idx val="8"/>
          <c:order val="8"/>
          <c:tx>
            <c:strRef>
              <c:f>Trends!$A$12</c:f>
              <c:strCache>
                <c:ptCount val="1"/>
                <c:pt idx="0">
                  <c:v>Trevor 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Trends!$B$12:$V$12</c:f>
              <c:numCache>
                <c:formatCode>0.0</c:formatCode>
                <c:ptCount val="21"/>
                <c:pt idx="1">
                  <c:v>51</c:v>
                </c:pt>
                <c:pt idx="2">
                  <c:v>47.5</c:v>
                </c:pt>
                <c:pt idx="3">
                  <c:v>47.5</c:v>
                </c:pt>
                <c:pt idx="4">
                  <c:v>46.3</c:v>
                </c:pt>
                <c:pt idx="5">
                  <c:v>44.5</c:v>
                </c:pt>
                <c:pt idx="6">
                  <c:v>43</c:v>
                </c:pt>
                <c:pt idx="7">
                  <c:v>43.2</c:v>
                </c:pt>
                <c:pt idx="8">
                  <c:v>43.1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43.1</c:v>
                </c:pt>
                <c:pt idx="13">
                  <c:v>43.1</c:v>
                </c:pt>
                <c:pt idx="14">
                  <c:v>43.1</c:v>
                </c:pt>
                <c:pt idx="15">
                  <c:v>44</c:v>
                </c:pt>
                <c:pt idx="16">
                  <c:v>45.3</c:v>
                </c:pt>
                <c:pt idx="17">
                  <c:v>45.2</c:v>
                </c:pt>
                <c:pt idx="18">
                  <c:v>45.2</c:v>
                </c:pt>
                <c:pt idx="19">
                  <c:v>45.1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B1B-B343-B7F1-B75393FDF2B3}"/>
            </c:ext>
          </c:extLst>
        </c:ser>
        <c:ser>
          <c:idx val="9"/>
          <c:order val="9"/>
          <c:tx>
            <c:strRef>
              <c:f>Trends!$A$13</c:f>
              <c:strCache>
                <c:ptCount val="1"/>
                <c:pt idx="0">
                  <c:v>Steve L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Trends!$B$13:$V$13</c:f>
              <c:numCache>
                <c:formatCode>0.0</c:formatCode>
                <c:ptCount val="21"/>
                <c:pt idx="2">
                  <c:v>40</c:v>
                </c:pt>
                <c:pt idx="3">
                  <c:v>42</c:v>
                </c:pt>
                <c:pt idx="4">
                  <c:v>46</c:v>
                </c:pt>
                <c:pt idx="5">
                  <c:v>45.3</c:v>
                </c:pt>
                <c:pt idx="6">
                  <c:v>43.8</c:v>
                </c:pt>
                <c:pt idx="7">
                  <c:v>43.3</c:v>
                </c:pt>
                <c:pt idx="8">
                  <c:v>43.1</c:v>
                </c:pt>
                <c:pt idx="9">
                  <c:v>44.5</c:v>
                </c:pt>
                <c:pt idx="10">
                  <c:v>44.2</c:v>
                </c:pt>
                <c:pt idx="11">
                  <c:v>43.8</c:v>
                </c:pt>
                <c:pt idx="12">
                  <c:v>43.3</c:v>
                </c:pt>
                <c:pt idx="13">
                  <c:v>44.6</c:v>
                </c:pt>
                <c:pt idx="14">
                  <c:v>43.8</c:v>
                </c:pt>
                <c:pt idx="15">
                  <c:v>43.9</c:v>
                </c:pt>
                <c:pt idx="16">
                  <c:v>45.3</c:v>
                </c:pt>
                <c:pt idx="17">
                  <c:v>45.6</c:v>
                </c:pt>
                <c:pt idx="18">
                  <c:v>45.5</c:v>
                </c:pt>
                <c:pt idx="19">
                  <c:v>46.2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B1B-B343-B7F1-B75393FDF2B3}"/>
            </c:ext>
          </c:extLst>
        </c:ser>
        <c:ser>
          <c:idx val="12"/>
          <c:order val="10"/>
          <c:tx>
            <c:strRef>
              <c:f>Trends!$A$18</c:f>
              <c:strCache>
                <c:ptCount val="1"/>
                <c:pt idx="0">
                  <c:v>Home Average</c:v>
                </c:pt>
              </c:strCache>
            </c:strRef>
          </c:tx>
          <c:spPr>
            <a:ln w="28575" cap="rnd" cmpd="sng">
              <a:solidFill>
                <a:schemeClr val="accent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80000"/>
                  <a:lumOff val="2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Trends!$B$18:$V$18</c:f>
              <c:numCache>
                <c:formatCode>0.0</c:formatCode>
                <c:ptCount val="21"/>
                <c:pt idx="1">
                  <c:v>41.8</c:v>
                </c:pt>
                <c:pt idx="2">
                  <c:v>42.2</c:v>
                </c:pt>
                <c:pt idx="3">
                  <c:v>42.2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44.4</c:v>
                </c:pt>
                <c:pt idx="10">
                  <c:v>44.7</c:v>
                </c:pt>
                <c:pt idx="11">
                  <c:v>45</c:v>
                </c:pt>
                <c:pt idx="12">
                  <c:v>45</c:v>
                </c:pt>
                <c:pt idx="13">
                  <c:v>45.9</c:v>
                </c:pt>
                <c:pt idx="14">
                  <c:v>45.9</c:v>
                </c:pt>
                <c:pt idx="15">
                  <c:v>45.9</c:v>
                </c:pt>
                <c:pt idx="16">
                  <c:v>45.9</c:v>
                </c:pt>
                <c:pt idx="17">
                  <c:v>45.9</c:v>
                </c:pt>
                <c:pt idx="18">
                  <c:v>45.9</c:v>
                </c:pt>
                <c:pt idx="19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B1B-B343-B7F1-B75393FDF2B3}"/>
            </c:ext>
          </c:extLst>
        </c:ser>
        <c:ser>
          <c:idx val="13"/>
          <c:order val="11"/>
          <c:tx>
            <c:strRef>
              <c:f>Trends!$A$19</c:f>
              <c:strCache>
                <c:ptCount val="1"/>
                <c:pt idx="0">
                  <c:v>Overall Average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42984</c:v>
                </c:pt>
                <c:pt idx="1">
                  <c:v>42998</c:v>
                </c:pt>
                <c:pt idx="2">
                  <c:v>43005</c:v>
                </c:pt>
                <c:pt idx="3">
                  <c:v>43012</c:v>
                </c:pt>
                <c:pt idx="4">
                  <c:v>43019</c:v>
                </c:pt>
                <c:pt idx="5">
                  <c:v>43033</c:v>
                </c:pt>
                <c:pt idx="6">
                  <c:v>43040</c:v>
                </c:pt>
                <c:pt idx="7">
                  <c:v>43068</c:v>
                </c:pt>
                <c:pt idx="8">
                  <c:v>43075</c:v>
                </c:pt>
                <c:pt idx="9">
                  <c:v>43082</c:v>
                </c:pt>
                <c:pt idx="10">
                  <c:v>43089</c:v>
                </c:pt>
                <c:pt idx="11">
                  <c:v>43103</c:v>
                </c:pt>
                <c:pt idx="12">
                  <c:v>43117</c:v>
                </c:pt>
                <c:pt idx="13">
                  <c:v>43124</c:v>
                </c:pt>
                <c:pt idx="14">
                  <c:v>43138</c:v>
                </c:pt>
                <c:pt idx="15">
                  <c:v>43145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43187</c:v>
                </c:pt>
              </c:numCache>
            </c:numRef>
          </c:cat>
          <c:val>
            <c:numRef>
              <c:f>Trends!$B$19:$V$19</c:f>
              <c:numCache>
                <c:formatCode>0.0</c:formatCode>
                <c:ptCount val="21"/>
                <c:pt idx="0">
                  <c:v>46.1</c:v>
                </c:pt>
                <c:pt idx="1">
                  <c:v>43.8</c:v>
                </c:pt>
                <c:pt idx="2">
                  <c:v>43.3</c:v>
                </c:pt>
                <c:pt idx="3">
                  <c:v>44.9</c:v>
                </c:pt>
                <c:pt idx="4">
                  <c:v>45.5</c:v>
                </c:pt>
                <c:pt idx="5">
                  <c:v>45.5</c:v>
                </c:pt>
                <c:pt idx="6">
                  <c:v>44.9</c:v>
                </c:pt>
                <c:pt idx="7">
                  <c:v>45.1</c:v>
                </c:pt>
                <c:pt idx="8">
                  <c:v>45</c:v>
                </c:pt>
                <c:pt idx="9">
                  <c:v>45.1</c:v>
                </c:pt>
                <c:pt idx="10">
                  <c:v>45.2</c:v>
                </c:pt>
                <c:pt idx="11">
                  <c:v>45.3</c:v>
                </c:pt>
                <c:pt idx="12">
                  <c:v>44.8</c:v>
                </c:pt>
                <c:pt idx="13">
                  <c:v>45.4</c:v>
                </c:pt>
                <c:pt idx="14">
                  <c:v>45</c:v>
                </c:pt>
                <c:pt idx="15">
                  <c:v>45.1</c:v>
                </c:pt>
                <c:pt idx="16">
                  <c:v>45.4</c:v>
                </c:pt>
                <c:pt idx="17">
                  <c:v>45.4</c:v>
                </c:pt>
                <c:pt idx="18">
                  <c:v>45.4</c:v>
                </c:pt>
                <c:pt idx="19">
                  <c:v>45.4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5B1B-B343-B7F1-B75393FD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826008"/>
        <c:axId val="421826400"/>
      </c:lineChart>
      <c:catAx>
        <c:axId val="421826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26400"/>
        <c:crosses val="autoZero"/>
        <c:auto val="0"/>
        <c:lblAlgn val="ctr"/>
        <c:lblOffset val="100"/>
        <c:noMultiLvlLbl val="0"/>
      </c:catAx>
      <c:valAx>
        <c:axId val="421826400"/>
        <c:scaling>
          <c:orientation val="minMax"/>
          <c:max val="54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Average 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2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1634490</xdr:colOff>
      <xdr:row>23</xdr:row>
      <xdr:rowOff>103685</xdr:rowOff>
    </xdr:from>
    <xdr:to>
      <xdr:col>9</xdr:col>
      <xdr:colOff>679269</xdr:colOff>
      <xdr:row>47</xdr:row>
      <xdr:rowOff>189410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dxe.uk/Skittles/2017_18/2017-11-29%2022.50.07.jpg" TargetMode="External"/><Relationship Id="rId13" Type="http://schemas.openxmlformats.org/officeDocument/2006/relationships/hyperlink" Target="https://adxe.uk/Skittles/2017_18/2018-02-28%2022.38.33.jpg" TargetMode="External"/><Relationship Id="rId18" Type="http://schemas.openxmlformats.org/officeDocument/2006/relationships/hyperlink" Target="https://adxe.uk/Skittles/2017_18/IMG-20180215-WA0003.jpg" TargetMode="External"/><Relationship Id="rId3" Type="http://schemas.openxmlformats.org/officeDocument/2006/relationships/hyperlink" Target="https://adxe.uk/Skittles/2017_18/2017-09-27%2022.48.28.jp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adxe.uk/Skittles/2017_18/2017-11-01%2022.17.07.jpg" TargetMode="External"/><Relationship Id="rId12" Type="http://schemas.openxmlformats.org/officeDocument/2006/relationships/hyperlink" Target="https://adxe.uk/Skittles/2017_18/2018-02-07%2021.59.28.jpg" TargetMode="External"/><Relationship Id="rId17" Type="http://schemas.openxmlformats.org/officeDocument/2006/relationships/hyperlink" Target="https://adxe.uk/Skittles/2017_18/IMG_2017_12_07.jpg" TargetMode="External"/><Relationship Id="rId2" Type="http://schemas.openxmlformats.org/officeDocument/2006/relationships/hyperlink" Target="https://adxe.uk/Skittles/2017_18/2017-09-20%2022.37.28.jpg" TargetMode="External"/><Relationship Id="rId16" Type="http://schemas.openxmlformats.org/officeDocument/2006/relationships/hyperlink" Target="https://adxe.uk/Skittles/2017_18/2018-03-28%2022.42.17.jpg" TargetMode="External"/><Relationship Id="rId20" Type="http://schemas.openxmlformats.org/officeDocument/2006/relationships/hyperlink" Target="https://adxe.uk/Skittles/2017_18/2018-01-17%2022.14.14.jpg" TargetMode="External"/><Relationship Id="rId1" Type="http://schemas.openxmlformats.org/officeDocument/2006/relationships/hyperlink" Target="https://adxe.uk/Skittles/2017_18/2017-09-06%2022.16.58.jpg" TargetMode="External"/><Relationship Id="rId6" Type="http://schemas.openxmlformats.org/officeDocument/2006/relationships/hyperlink" Target="https://adxe.uk/Skittles/2017_18/2017-10-25%2022.29.55.jpg" TargetMode="External"/><Relationship Id="rId11" Type="http://schemas.openxmlformats.org/officeDocument/2006/relationships/hyperlink" Target="https://adxe.uk/Skittles/2017_18/2018-01-03%2022.58.23.jpg" TargetMode="External"/><Relationship Id="rId5" Type="http://schemas.openxmlformats.org/officeDocument/2006/relationships/hyperlink" Target="https://adxe.uk/Skittles/2017_18/2017-10-11%2022.56.34.jpg" TargetMode="External"/><Relationship Id="rId15" Type="http://schemas.openxmlformats.org/officeDocument/2006/relationships/hyperlink" Target="https://adxe.uk/Skittles/2017_18/2018-03-14%2022.34.35.jpg" TargetMode="External"/><Relationship Id="rId10" Type="http://schemas.openxmlformats.org/officeDocument/2006/relationships/hyperlink" Target="https://adxe.uk/Skittles/2017_18/2017-12-20%2022.57.05.jpg" TargetMode="External"/><Relationship Id="rId19" Type="http://schemas.openxmlformats.org/officeDocument/2006/relationships/hyperlink" Target="https://adxe.uk/Skittles/2017_18/IMG-20180124-WA0000.jpg" TargetMode="External"/><Relationship Id="rId4" Type="http://schemas.openxmlformats.org/officeDocument/2006/relationships/hyperlink" Target="https://adxe.uk/Skittles/2017_18/2017-10-04%2022.43.57.jpg" TargetMode="External"/><Relationship Id="rId9" Type="http://schemas.openxmlformats.org/officeDocument/2006/relationships/hyperlink" Target="https://adxe.uk/Skittles/2017_18/2017-12-13%2022.56.55.jpg" TargetMode="External"/><Relationship Id="rId14" Type="http://schemas.openxmlformats.org/officeDocument/2006/relationships/hyperlink" Target="https://adxe.uk/Skittles/2017_18/2018-03-07%2022.35.44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7"/>
  <sheetViews>
    <sheetView tabSelected="1" workbookViewId="0">
      <pane xSplit="1" topLeftCell="B1" activePane="topRight" state="frozen"/>
      <selection activeCell="A5" sqref="A5"/>
      <selection pane="topRight" activeCell="X8" sqref="X8"/>
    </sheetView>
  </sheetViews>
  <sheetFormatPr defaultRowHeight="15" x14ac:dyDescent="0.25"/>
  <cols>
    <col min="1" max="1" width="17.42578125" customWidth="1"/>
    <col min="2" max="2" width="6.140625" style="2" bestFit="1" customWidth="1"/>
    <col min="3" max="3" width="9.140625" style="2" bestFit="1" customWidth="1"/>
    <col min="4" max="4" width="6.42578125" bestFit="1" customWidth="1"/>
    <col min="5" max="5" width="6.140625" bestFit="1" customWidth="1"/>
    <col min="6" max="6" width="9.140625" bestFit="1" customWidth="1"/>
    <col min="7" max="7" width="6.42578125" bestFit="1" customWidth="1"/>
    <col min="8" max="8" width="6.140625" bestFit="1" customWidth="1"/>
    <col min="9" max="9" width="8.140625" customWidth="1"/>
    <col min="10" max="10" width="6.42578125" bestFit="1" customWidth="1"/>
    <col min="11" max="25" width="6.42578125" customWidth="1"/>
    <col min="26" max="31" width="6.42578125" hidden="1" customWidth="1"/>
    <col min="32" max="79" width="6.42578125" customWidth="1"/>
  </cols>
  <sheetData>
    <row r="1" spans="1:79" ht="23.25" x14ac:dyDescent="0.35">
      <c r="A1" s="27" t="s">
        <v>31</v>
      </c>
      <c r="G1" s="191" t="s">
        <v>36</v>
      </c>
      <c r="H1" s="191"/>
      <c r="I1" s="389">
        <f ca="1">NOW()</f>
        <v>43188.751605671299</v>
      </c>
      <c r="J1" s="389"/>
      <c r="K1" s="389"/>
    </row>
    <row r="2" spans="1:79" ht="15.75" customHeight="1" x14ac:dyDescent="0.25">
      <c r="A2" s="4"/>
      <c r="B2" s="8"/>
      <c r="C2" s="8"/>
      <c r="D2" s="4"/>
      <c r="E2" s="4"/>
      <c r="F2" s="4"/>
      <c r="H2" s="4"/>
      <c r="I2" s="4"/>
    </row>
    <row r="3" spans="1:79" s="38" customFormat="1" ht="15.75" customHeight="1" x14ac:dyDescent="0.25">
      <c r="A3" s="39" t="s">
        <v>2</v>
      </c>
      <c r="B3" s="363" t="s">
        <v>38</v>
      </c>
      <c r="C3" s="364"/>
      <c r="D3" s="365"/>
      <c r="E3" s="348" t="s">
        <v>37</v>
      </c>
      <c r="F3" s="349"/>
      <c r="G3" s="350"/>
      <c r="H3" s="348" t="s">
        <v>37</v>
      </c>
      <c r="I3" s="349"/>
      <c r="J3" s="350"/>
      <c r="K3" s="348" t="s">
        <v>44</v>
      </c>
      <c r="L3" s="349"/>
      <c r="M3" s="350"/>
      <c r="N3" s="348" t="s">
        <v>37</v>
      </c>
      <c r="O3" s="349"/>
      <c r="P3" s="350"/>
      <c r="Q3" s="348" t="s">
        <v>37</v>
      </c>
      <c r="R3" s="349"/>
      <c r="S3" s="350"/>
      <c r="T3" s="348" t="s">
        <v>60</v>
      </c>
      <c r="U3" s="349"/>
      <c r="V3" s="350"/>
      <c r="W3" s="348" t="s">
        <v>48</v>
      </c>
      <c r="X3" s="349"/>
      <c r="Y3" s="350"/>
      <c r="Z3" s="348"/>
      <c r="AA3" s="349"/>
      <c r="AB3" s="350"/>
      <c r="AC3" s="348" t="s">
        <v>37</v>
      </c>
      <c r="AD3" s="349"/>
      <c r="AE3" s="350"/>
      <c r="AF3" s="348" t="s">
        <v>44</v>
      </c>
      <c r="AG3" s="349"/>
      <c r="AH3" s="350"/>
      <c r="AI3" s="348" t="s">
        <v>37</v>
      </c>
      <c r="AJ3" s="349"/>
      <c r="AK3" s="350"/>
      <c r="AL3" s="348" t="s">
        <v>37</v>
      </c>
      <c r="AM3" s="349"/>
      <c r="AN3" s="350"/>
      <c r="AO3" s="348" t="s">
        <v>37</v>
      </c>
      <c r="AP3" s="349"/>
      <c r="AQ3" s="350"/>
      <c r="AR3" s="348" t="s">
        <v>37</v>
      </c>
      <c r="AS3" s="349"/>
      <c r="AT3" s="350"/>
      <c r="AU3" s="348" t="s">
        <v>79</v>
      </c>
      <c r="AV3" s="349"/>
      <c r="AW3" s="350"/>
      <c r="AX3" s="348" t="s">
        <v>37</v>
      </c>
      <c r="AY3" s="349"/>
      <c r="AZ3" s="350"/>
      <c r="BA3" s="348" t="s">
        <v>98</v>
      </c>
      <c r="BB3" s="349"/>
      <c r="BC3" s="350"/>
      <c r="BD3" s="348" t="s">
        <v>37</v>
      </c>
      <c r="BE3" s="349"/>
      <c r="BF3" s="350"/>
      <c r="BG3" s="348" t="s">
        <v>95</v>
      </c>
      <c r="BH3" s="349"/>
      <c r="BI3" s="350"/>
      <c r="BJ3" s="348" t="s">
        <v>37</v>
      </c>
      <c r="BK3" s="349"/>
      <c r="BL3" s="350"/>
      <c r="BM3" s="348" t="s">
        <v>104</v>
      </c>
      <c r="BN3" s="349"/>
      <c r="BO3" s="350"/>
      <c r="BP3" s="348" t="s">
        <v>37</v>
      </c>
      <c r="BQ3" s="349"/>
      <c r="BR3" s="350"/>
      <c r="BS3" s="348"/>
      <c r="BT3" s="349"/>
      <c r="BU3" s="350"/>
      <c r="BV3" s="348"/>
      <c r="BW3" s="349"/>
      <c r="BX3" s="350"/>
      <c r="BY3" s="348"/>
      <c r="BZ3" s="349"/>
      <c r="CA3" s="350"/>
    </row>
    <row r="4" spans="1:79" s="31" customFormat="1" ht="15.75" customHeight="1" x14ac:dyDescent="0.25">
      <c r="A4" s="213" t="s">
        <v>35</v>
      </c>
      <c r="B4" s="380">
        <v>1</v>
      </c>
      <c r="C4" s="381"/>
      <c r="D4" s="382"/>
      <c r="E4" s="351">
        <v>2</v>
      </c>
      <c r="F4" s="352"/>
      <c r="G4" s="353"/>
      <c r="H4" s="351">
        <v>3</v>
      </c>
      <c r="I4" s="352"/>
      <c r="J4" s="353"/>
      <c r="K4" s="351">
        <v>4</v>
      </c>
      <c r="L4" s="352"/>
      <c r="M4" s="353"/>
      <c r="N4" s="351">
        <v>5</v>
      </c>
      <c r="O4" s="352"/>
      <c r="P4" s="353"/>
      <c r="Q4" s="351"/>
      <c r="R4" s="352"/>
      <c r="S4" s="353"/>
      <c r="T4" s="351">
        <v>6</v>
      </c>
      <c r="U4" s="352"/>
      <c r="V4" s="353"/>
      <c r="W4" s="351">
        <v>7</v>
      </c>
      <c r="X4" s="352"/>
      <c r="Y4" s="353"/>
      <c r="Z4" s="351">
        <v>9</v>
      </c>
      <c r="AA4" s="352"/>
      <c r="AB4" s="353"/>
      <c r="AC4" s="351">
        <v>10</v>
      </c>
      <c r="AD4" s="352"/>
      <c r="AE4" s="353"/>
      <c r="AF4" s="351">
        <v>8</v>
      </c>
      <c r="AG4" s="352"/>
      <c r="AH4" s="353"/>
      <c r="AI4" s="351">
        <v>9</v>
      </c>
      <c r="AJ4" s="352">
        <v>9.8666666666666707</v>
      </c>
      <c r="AK4" s="353">
        <v>10.1</v>
      </c>
      <c r="AL4" s="351">
        <v>10</v>
      </c>
      <c r="AM4" s="352">
        <v>10.5666666666667</v>
      </c>
      <c r="AN4" s="353">
        <v>10.8</v>
      </c>
      <c r="AO4" s="351">
        <v>11</v>
      </c>
      <c r="AP4" s="352">
        <v>11.266666666666699</v>
      </c>
      <c r="AQ4" s="353">
        <v>11.5</v>
      </c>
      <c r="AR4" s="351">
        <v>12</v>
      </c>
      <c r="AS4" s="352">
        <v>11.966666666666701</v>
      </c>
      <c r="AT4" s="353">
        <v>12.2</v>
      </c>
      <c r="AU4" s="351">
        <v>13</v>
      </c>
      <c r="AV4" s="352"/>
      <c r="AW4" s="353"/>
      <c r="AX4" s="351">
        <v>14</v>
      </c>
      <c r="AY4" s="352">
        <v>12.9</v>
      </c>
      <c r="AZ4" s="353">
        <v>13.133333333333301</v>
      </c>
      <c r="BA4" s="351">
        <v>15</v>
      </c>
      <c r="BB4" s="352">
        <v>13.6</v>
      </c>
      <c r="BC4" s="353">
        <v>13.8333333333333</v>
      </c>
      <c r="BD4" s="351">
        <v>16</v>
      </c>
      <c r="BE4" s="352">
        <v>14.3</v>
      </c>
      <c r="BF4" s="353">
        <v>14.533333333333299</v>
      </c>
      <c r="BG4" s="351">
        <v>17</v>
      </c>
      <c r="BH4" s="352">
        <v>15</v>
      </c>
      <c r="BI4" s="353">
        <v>15.233333333333301</v>
      </c>
      <c r="BJ4" s="351">
        <v>18</v>
      </c>
      <c r="BK4" s="352"/>
      <c r="BL4" s="353"/>
      <c r="BM4" s="351">
        <v>19</v>
      </c>
      <c r="BN4" s="352">
        <v>15.9333333333333</v>
      </c>
      <c r="BO4" s="353">
        <v>16.1666666666667</v>
      </c>
      <c r="BP4" s="351">
        <v>20</v>
      </c>
      <c r="BQ4" s="352">
        <v>16.633333333333301</v>
      </c>
      <c r="BR4" s="353">
        <v>16.866666666666699</v>
      </c>
      <c r="BS4" s="351"/>
      <c r="BT4" s="352"/>
      <c r="BU4" s="353"/>
      <c r="BV4" s="351">
        <v>25</v>
      </c>
      <c r="BW4" s="352"/>
      <c r="BX4" s="353"/>
      <c r="BY4" s="351">
        <v>26</v>
      </c>
      <c r="BZ4" s="352"/>
      <c r="CA4" s="353"/>
    </row>
    <row r="5" spans="1:79" s="38" customFormat="1" ht="15.75" customHeight="1" x14ac:dyDescent="0.25">
      <c r="A5" s="39" t="s">
        <v>3</v>
      </c>
      <c r="B5" s="370" t="s">
        <v>6</v>
      </c>
      <c r="C5" s="371"/>
      <c r="D5" s="372"/>
      <c r="E5" s="376" t="s">
        <v>15</v>
      </c>
      <c r="F5" s="377"/>
      <c r="G5" s="378"/>
      <c r="H5" s="376" t="s">
        <v>15</v>
      </c>
      <c r="I5" s="377"/>
      <c r="J5" s="378"/>
      <c r="K5" s="376" t="s">
        <v>6</v>
      </c>
      <c r="L5" s="377"/>
      <c r="M5" s="378"/>
      <c r="N5" s="376" t="s">
        <v>15</v>
      </c>
      <c r="O5" s="377"/>
      <c r="P5" s="378"/>
      <c r="Q5" s="376" t="s">
        <v>15</v>
      </c>
      <c r="R5" s="377"/>
      <c r="S5" s="378"/>
      <c r="T5" s="376" t="s">
        <v>6</v>
      </c>
      <c r="U5" s="377"/>
      <c r="V5" s="378"/>
      <c r="W5" s="376" t="s">
        <v>6</v>
      </c>
      <c r="X5" s="377"/>
      <c r="Y5" s="378"/>
      <c r="Z5" s="376"/>
      <c r="AA5" s="377"/>
      <c r="AB5" s="378"/>
      <c r="AC5" s="376" t="s">
        <v>15</v>
      </c>
      <c r="AD5" s="377"/>
      <c r="AE5" s="378"/>
      <c r="AF5" s="376" t="s">
        <v>6</v>
      </c>
      <c r="AG5" s="377"/>
      <c r="AH5" s="378"/>
      <c r="AI5" s="376" t="s">
        <v>15</v>
      </c>
      <c r="AJ5" s="377"/>
      <c r="AK5" s="378"/>
      <c r="AL5" s="376" t="s">
        <v>15</v>
      </c>
      <c r="AM5" s="377"/>
      <c r="AN5" s="378"/>
      <c r="AO5" s="376" t="s">
        <v>15</v>
      </c>
      <c r="AP5" s="377"/>
      <c r="AQ5" s="378"/>
      <c r="AR5" s="376" t="s">
        <v>15</v>
      </c>
      <c r="AS5" s="377"/>
      <c r="AT5" s="378"/>
      <c r="AU5" s="376" t="s">
        <v>6</v>
      </c>
      <c r="AV5" s="377"/>
      <c r="AW5" s="378"/>
      <c r="AX5" s="376" t="s">
        <v>15</v>
      </c>
      <c r="AY5" s="377"/>
      <c r="AZ5" s="378"/>
      <c r="BA5" s="376" t="s">
        <v>6</v>
      </c>
      <c r="BB5" s="377"/>
      <c r="BC5" s="378"/>
      <c r="BD5" s="376" t="s">
        <v>15</v>
      </c>
      <c r="BE5" s="377"/>
      <c r="BF5" s="378"/>
      <c r="BG5" s="376" t="s">
        <v>6</v>
      </c>
      <c r="BH5" s="377"/>
      <c r="BI5" s="378"/>
      <c r="BJ5" s="376" t="s">
        <v>15</v>
      </c>
      <c r="BK5" s="377"/>
      <c r="BL5" s="378"/>
      <c r="BM5" s="376" t="s">
        <v>6</v>
      </c>
      <c r="BN5" s="377"/>
      <c r="BO5" s="378"/>
      <c r="BP5" s="376" t="s">
        <v>15</v>
      </c>
      <c r="BQ5" s="377"/>
      <c r="BR5" s="378"/>
      <c r="BS5" s="376"/>
      <c r="BT5" s="377"/>
      <c r="BU5" s="378"/>
      <c r="BV5" s="376"/>
      <c r="BW5" s="377"/>
      <c r="BX5" s="378"/>
      <c r="BY5" s="376"/>
      <c r="BZ5" s="377"/>
      <c r="CA5" s="378"/>
    </row>
    <row r="6" spans="1:79" ht="15.75" customHeight="1" x14ac:dyDescent="0.25">
      <c r="A6" s="5" t="s">
        <v>32</v>
      </c>
      <c r="B6" s="373" t="s">
        <v>34</v>
      </c>
      <c r="C6" s="374"/>
      <c r="D6" s="375"/>
      <c r="E6" s="373" t="s">
        <v>34</v>
      </c>
      <c r="F6" s="374"/>
      <c r="G6" s="379"/>
      <c r="H6" s="373" t="s">
        <v>33</v>
      </c>
      <c r="I6" s="374"/>
      <c r="J6" s="379"/>
      <c r="K6" s="373" t="s">
        <v>34</v>
      </c>
      <c r="L6" s="374"/>
      <c r="M6" s="379"/>
      <c r="N6" s="373" t="s">
        <v>33</v>
      </c>
      <c r="O6" s="374"/>
      <c r="P6" s="379"/>
      <c r="Q6" s="373" t="s">
        <v>34</v>
      </c>
      <c r="R6" s="374"/>
      <c r="S6" s="379"/>
      <c r="T6" s="373" t="s">
        <v>33</v>
      </c>
      <c r="U6" s="374"/>
      <c r="V6" s="379"/>
      <c r="W6" s="373" t="s">
        <v>34</v>
      </c>
      <c r="X6" s="374"/>
      <c r="Y6" s="379"/>
      <c r="Z6" s="373"/>
      <c r="AA6" s="374"/>
      <c r="AB6" s="379"/>
      <c r="AC6" s="373" t="s">
        <v>34</v>
      </c>
      <c r="AD6" s="374"/>
      <c r="AE6" s="379"/>
      <c r="AF6" s="373" t="s">
        <v>34</v>
      </c>
      <c r="AG6" s="374"/>
      <c r="AH6" s="379"/>
      <c r="AI6" s="373" t="s">
        <v>34</v>
      </c>
      <c r="AJ6" s="374"/>
      <c r="AK6" s="379"/>
      <c r="AL6" s="373" t="s">
        <v>34</v>
      </c>
      <c r="AM6" s="374"/>
      <c r="AN6" s="379"/>
      <c r="AO6" s="373" t="s">
        <v>34</v>
      </c>
      <c r="AP6" s="374"/>
      <c r="AQ6" s="379"/>
      <c r="AR6" s="373" t="s">
        <v>34</v>
      </c>
      <c r="AS6" s="374"/>
      <c r="AT6" s="379"/>
      <c r="AU6" s="373" t="s">
        <v>34</v>
      </c>
      <c r="AV6" s="374"/>
      <c r="AW6" s="379"/>
      <c r="AX6" s="373" t="s">
        <v>34</v>
      </c>
      <c r="AY6" s="374"/>
      <c r="AZ6" s="379"/>
      <c r="BA6" s="373" t="s">
        <v>34</v>
      </c>
      <c r="BB6" s="374"/>
      <c r="BC6" s="379"/>
      <c r="BD6" s="373" t="s">
        <v>34</v>
      </c>
      <c r="BE6" s="374"/>
      <c r="BF6" s="379"/>
      <c r="BG6" s="373" t="s">
        <v>34</v>
      </c>
      <c r="BH6" s="374"/>
      <c r="BI6" s="379"/>
      <c r="BJ6" s="373" t="s">
        <v>34</v>
      </c>
      <c r="BK6" s="374"/>
      <c r="BL6" s="379"/>
      <c r="BM6" s="373" t="s">
        <v>34</v>
      </c>
      <c r="BN6" s="374"/>
      <c r="BO6" s="379"/>
      <c r="BP6" s="373" t="s">
        <v>34</v>
      </c>
      <c r="BQ6" s="374"/>
      <c r="BR6" s="379"/>
      <c r="BS6" s="373"/>
      <c r="BT6" s="374"/>
      <c r="BU6" s="379"/>
      <c r="BV6" s="373"/>
      <c r="BW6" s="374"/>
      <c r="BX6" s="379"/>
      <c r="BY6" s="373"/>
      <c r="BZ6" s="374"/>
      <c r="CA6" s="379"/>
    </row>
    <row r="7" spans="1:79" s="38" customFormat="1" ht="15.75" customHeight="1" x14ac:dyDescent="0.25">
      <c r="A7" s="39" t="s">
        <v>1</v>
      </c>
      <c r="B7" s="366">
        <v>42984</v>
      </c>
      <c r="C7" s="367"/>
      <c r="D7" s="368"/>
      <c r="E7" s="354">
        <v>42998</v>
      </c>
      <c r="F7" s="355"/>
      <c r="G7" s="356"/>
      <c r="H7" s="354">
        <v>43005</v>
      </c>
      <c r="I7" s="355"/>
      <c r="J7" s="356"/>
      <c r="K7" s="354">
        <v>43012</v>
      </c>
      <c r="L7" s="355"/>
      <c r="M7" s="356"/>
      <c r="N7" s="354">
        <v>43019</v>
      </c>
      <c r="O7" s="355"/>
      <c r="P7" s="356"/>
      <c r="Q7" s="354">
        <v>43026</v>
      </c>
      <c r="R7" s="355"/>
      <c r="S7" s="356"/>
      <c r="T7" s="354">
        <v>43033</v>
      </c>
      <c r="U7" s="355"/>
      <c r="V7" s="356"/>
      <c r="W7" s="354">
        <v>43040</v>
      </c>
      <c r="X7" s="355"/>
      <c r="Y7" s="356"/>
      <c r="Z7" s="354">
        <v>43047</v>
      </c>
      <c r="AA7" s="355"/>
      <c r="AB7" s="356"/>
      <c r="AC7" s="354">
        <v>43054</v>
      </c>
      <c r="AD7" s="355"/>
      <c r="AE7" s="356"/>
      <c r="AF7" s="354">
        <v>43068</v>
      </c>
      <c r="AG7" s="355"/>
      <c r="AH7" s="356"/>
      <c r="AI7" s="354">
        <v>43075</v>
      </c>
      <c r="AJ7" s="355"/>
      <c r="AK7" s="356"/>
      <c r="AL7" s="354">
        <v>43082</v>
      </c>
      <c r="AM7" s="355"/>
      <c r="AN7" s="356"/>
      <c r="AO7" s="354">
        <v>43089</v>
      </c>
      <c r="AP7" s="355"/>
      <c r="AQ7" s="356"/>
      <c r="AR7" s="354">
        <v>43103</v>
      </c>
      <c r="AS7" s="355"/>
      <c r="AT7" s="356"/>
      <c r="AU7" s="354">
        <v>43117</v>
      </c>
      <c r="AV7" s="355"/>
      <c r="AW7" s="356"/>
      <c r="AX7" s="354">
        <v>43124</v>
      </c>
      <c r="AY7" s="355"/>
      <c r="AZ7" s="356"/>
      <c r="BA7" s="354">
        <v>43138</v>
      </c>
      <c r="BB7" s="355"/>
      <c r="BC7" s="356"/>
      <c r="BD7" s="354">
        <v>43145</v>
      </c>
      <c r="BE7" s="355"/>
      <c r="BF7" s="356"/>
      <c r="BG7" s="354">
        <v>43159</v>
      </c>
      <c r="BH7" s="355"/>
      <c r="BI7" s="356"/>
      <c r="BJ7" s="354">
        <v>43166</v>
      </c>
      <c r="BK7" s="355"/>
      <c r="BL7" s="356"/>
      <c r="BM7" s="354">
        <v>43173</v>
      </c>
      <c r="BN7" s="355"/>
      <c r="BO7" s="356"/>
      <c r="BP7" s="354">
        <v>43187</v>
      </c>
      <c r="BQ7" s="355"/>
      <c r="BR7" s="356"/>
      <c r="BS7" s="354"/>
      <c r="BT7" s="355"/>
      <c r="BU7" s="356"/>
      <c r="BV7" s="354"/>
      <c r="BW7" s="355"/>
      <c r="BX7" s="356"/>
      <c r="BY7" s="354"/>
      <c r="BZ7" s="355"/>
      <c r="CA7" s="356"/>
    </row>
    <row r="8" spans="1:79" s="38" customFormat="1" ht="18" x14ac:dyDescent="0.25">
      <c r="A8" s="39" t="s">
        <v>105</v>
      </c>
      <c r="B8" s="344"/>
      <c r="C8" s="346" t="s">
        <v>106</v>
      </c>
      <c r="D8" s="345"/>
      <c r="E8" s="344"/>
      <c r="F8" s="346" t="s">
        <v>106</v>
      </c>
      <c r="G8" s="345"/>
      <c r="H8" s="344"/>
      <c r="I8" s="346" t="s">
        <v>106</v>
      </c>
      <c r="J8" s="345"/>
      <c r="K8" s="344"/>
      <c r="L8" s="346" t="s">
        <v>106</v>
      </c>
      <c r="M8" s="345"/>
      <c r="N8" s="344"/>
      <c r="O8" s="346" t="s">
        <v>106</v>
      </c>
      <c r="P8" s="345"/>
      <c r="Q8" s="344"/>
      <c r="R8" s="346"/>
      <c r="S8" s="345"/>
      <c r="T8" s="344"/>
      <c r="U8" s="346" t="s">
        <v>106</v>
      </c>
      <c r="V8" s="345"/>
      <c r="W8" s="344"/>
      <c r="X8" s="346" t="s">
        <v>106</v>
      </c>
      <c r="Y8" s="345"/>
      <c r="Z8" s="344"/>
      <c r="AA8" s="346"/>
      <c r="AB8" s="345"/>
      <c r="AC8" s="344"/>
      <c r="AD8" s="346"/>
      <c r="AE8" s="345"/>
      <c r="AF8" s="344"/>
      <c r="AG8" s="346" t="s">
        <v>106</v>
      </c>
      <c r="AH8" s="345"/>
      <c r="AI8" s="344"/>
      <c r="AJ8" s="346" t="s">
        <v>106</v>
      </c>
      <c r="AK8" s="345"/>
      <c r="AL8" s="344"/>
      <c r="AM8" s="346" t="s">
        <v>106</v>
      </c>
      <c r="AN8" s="345"/>
      <c r="AO8" s="344"/>
      <c r="AP8" s="346" t="s">
        <v>106</v>
      </c>
      <c r="AQ8" s="345"/>
      <c r="AR8" s="344"/>
      <c r="AS8" s="346" t="s">
        <v>106</v>
      </c>
      <c r="AT8" s="345"/>
      <c r="AU8" s="344"/>
      <c r="AV8" s="346" t="s">
        <v>106</v>
      </c>
      <c r="AW8" s="345"/>
      <c r="AX8" s="344"/>
      <c r="AY8" s="346" t="s">
        <v>106</v>
      </c>
      <c r="AZ8" s="345"/>
      <c r="BA8" s="344"/>
      <c r="BB8" s="346" t="s">
        <v>106</v>
      </c>
      <c r="BC8" s="345"/>
      <c r="BD8" s="344"/>
      <c r="BE8" s="346" t="s">
        <v>106</v>
      </c>
      <c r="BF8" s="345"/>
      <c r="BG8" s="344"/>
      <c r="BH8" s="346" t="s">
        <v>106</v>
      </c>
      <c r="BI8" s="345"/>
      <c r="BJ8" s="344"/>
      <c r="BK8" s="346" t="s">
        <v>106</v>
      </c>
      <c r="BL8" s="345"/>
      <c r="BM8" s="344"/>
      <c r="BN8" s="346" t="s">
        <v>106</v>
      </c>
      <c r="BO8" s="345"/>
      <c r="BP8" s="344"/>
      <c r="BQ8" s="346" t="s">
        <v>106</v>
      </c>
      <c r="BR8" s="345"/>
      <c r="BS8" s="344"/>
      <c r="BT8" s="346"/>
      <c r="BU8" s="345"/>
      <c r="BV8" s="341"/>
      <c r="BW8" s="342"/>
      <c r="BX8" s="343"/>
      <c r="BY8" s="341"/>
      <c r="BZ8" s="342"/>
      <c r="CA8" s="343"/>
    </row>
    <row r="9" spans="1:79" ht="15.75" customHeight="1" x14ac:dyDescent="0.25">
      <c r="B9" s="10" t="s">
        <v>16</v>
      </c>
      <c r="C9" s="12"/>
      <c r="D9" s="6" t="s">
        <v>5</v>
      </c>
      <c r="E9" s="10" t="s">
        <v>16</v>
      </c>
      <c r="F9" s="12"/>
      <c r="G9" s="6" t="s">
        <v>5</v>
      </c>
      <c r="H9" s="10" t="s">
        <v>16</v>
      </c>
      <c r="I9" s="12"/>
      <c r="J9" s="6" t="s">
        <v>5</v>
      </c>
      <c r="K9" s="10" t="s">
        <v>16</v>
      </c>
      <c r="L9" s="12"/>
      <c r="M9" s="6" t="s">
        <v>5</v>
      </c>
      <c r="N9" s="10" t="s">
        <v>16</v>
      </c>
      <c r="O9" s="12"/>
      <c r="P9" s="6" t="s">
        <v>5</v>
      </c>
      <c r="Q9" s="10" t="s">
        <v>16</v>
      </c>
      <c r="R9" s="12"/>
      <c r="S9" s="6" t="s">
        <v>5</v>
      </c>
      <c r="T9" s="10" t="s">
        <v>16</v>
      </c>
      <c r="U9" s="12"/>
      <c r="V9" s="6" t="s">
        <v>5</v>
      </c>
      <c r="W9" s="10" t="s">
        <v>16</v>
      </c>
      <c r="X9" s="12"/>
      <c r="Y9" s="6" t="s">
        <v>5</v>
      </c>
      <c r="Z9" s="10" t="s">
        <v>16</v>
      </c>
      <c r="AA9" s="12"/>
      <c r="AB9" s="6" t="s">
        <v>5</v>
      </c>
      <c r="AC9" s="10" t="s">
        <v>16</v>
      </c>
      <c r="AD9" s="12"/>
      <c r="AE9" s="6" t="s">
        <v>5</v>
      </c>
      <c r="AF9" s="10" t="s">
        <v>16</v>
      </c>
      <c r="AG9" s="12"/>
      <c r="AH9" s="6" t="s">
        <v>5</v>
      </c>
      <c r="AI9" s="10" t="s">
        <v>16</v>
      </c>
      <c r="AJ9" s="12"/>
      <c r="AK9" s="6" t="s">
        <v>5</v>
      </c>
      <c r="AL9" s="10" t="s">
        <v>16</v>
      </c>
      <c r="AM9" s="12"/>
      <c r="AN9" s="6" t="s">
        <v>5</v>
      </c>
      <c r="AO9" s="10" t="s">
        <v>16</v>
      </c>
      <c r="AP9" s="12"/>
      <c r="AQ9" s="6" t="s">
        <v>5</v>
      </c>
      <c r="AR9" s="10" t="s">
        <v>16</v>
      </c>
      <c r="AS9" s="12"/>
      <c r="AT9" s="6" t="s">
        <v>5</v>
      </c>
      <c r="AU9" s="10" t="s">
        <v>16</v>
      </c>
      <c r="AV9" s="12"/>
      <c r="AW9" s="6" t="s">
        <v>5</v>
      </c>
      <c r="AX9" s="10" t="s">
        <v>16</v>
      </c>
      <c r="AY9" s="12"/>
      <c r="AZ9" s="6" t="s">
        <v>5</v>
      </c>
      <c r="BA9" s="10" t="s">
        <v>16</v>
      </c>
      <c r="BB9" s="12"/>
      <c r="BC9" s="6" t="s">
        <v>5</v>
      </c>
      <c r="BD9" s="10" t="s">
        <v>16</v>
      </c>
      <c r="BE9" s="12"/>
      <c r="BF9" s="6" t="s">
        <v>5</v>
      </c>
      <c r="BG9" s="10" t="s">
        <v>16</v>
      </c>
      <c r="BH9" s="12"/>
      <c r="BI9" s="6" t="s">
        <v>5</v>
      </c>
      <c r="BJ9" s="10" t="s">
        <v>16</v>
      </c>
      <c r="BK9" s="12"/>
      <c r="BL9" s="6" t="s">
        <v>5</v>
      </c>
      <c r="BM9" s="10" t="s">
        <v>16</v>
      </c>
      <c r="BN9" s="12"/>
      <c r="BO9" s="6" t="s">
        <v>5</v>
      </c>
      <c r="BP9" s="10" t="s">
        <v>16</v>
      </c>
      <c r="BQ9" s="12"/>
      <c r="BR9" s="6" t="s">
        <v>5</v>
      </c>
      <c r="BS9" s="10" t="s">
        <v>16</v>
      </c>
      <c r="BT9" s="12"/>
      <c r="BU9" s="6" t="s">
        <v>5</v>
      </c>
      <c r="BV9" s="10" t="s">
        <v>16</v>
      </c>
      <c r="BW9" s="12"/>
      <c r="BX9" s="6" t="s">
        <v>5</v>
      </c>
      <c r="BY9" s="10" t="s">
        <v>16</v>
      </c>
      <c r="BZ9" s="12"/>
      <c r="CA9" s="6" t="s">
        <v>5</v>
      </c>
    </row>
    <row r="10" spans="1:79" s="38" customFormat="1" ht="18.75" x14ac:dyDescent="0.3">
      <c r="A10" s="47" t="s">
        <v>0</v>
      </c>
      <c r="B10" s="48"/>
      <c r="C10" s="49"/>
      <c r="D10" s="50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0"/>
      <c r="W10" s="48"/>
      <c r="X10" s="49"/>
      <c r="Y10" s="50"/>
      <c r="Z10" s="48"/>
      <c r="AA10" s="49"/>
      <c r="AB10" s="50"/>
      <c r="AC10" s="48"/>
      <c r="AD10" s="49"/>
      <c r="AE10" s="50"/>
      <c r="AF10" s="48"/>
      <c r="AG10" s="49"/>
      <c r="AH10" s="50"/>
      <c r="AI10" s="48"/>
      <c r="AJ10" s="49"/>
      <c r="AK10" s="50"/>
      <c r="AL10" s="48"/>
      <c r="AM10" s="49"/>
      <c r="AN10" s="50"/>
      <c r="AO10" s="48"/>
      <c r="AP10" s="49"/>
      <c r="AQ10" s="50"/>
      <c r="AR10" s="48"/>
      <c r="AS10" s="49"/>
      <c r="AT10" s="50"/>
      <c r="AU10" s="48"/>
      <c r="AV10" s="49"/>
      <c r="AW10" s="50"/>
      <c r="AX10" s="48"/>
      <c r="AY10" s="49"/>
      <c r="AZ10" s="50"/>
      <c r="BA10" s="48"/>
      <c r="BB10" s="49"/>
      <c r="BC10" s="50"/>
      <c r="BD10" s="48"/>
      <c r="BE10" s="49"/>
      <c r="BF10" s="50"/>
      <c r="BG10" s="48"/>
      <c r="BH10" s="49"/>
      <c r="BI10" s="50"/>
      <c r="BJ10" s="48"/>
      <c r="BK10" s="49"/>
      <c r="BL10" s="50"/>
      <c r="BM10" s="48"/>
      <c r="BN10" s="49"/>
      <c r="BO10" s="50"/>
      <c r="BP10" s="48"/>
      <c r="BQ10" s="49"/>
      <c r="BR10" s="50"/>
      <c r="BS10" s="48"/>
      <c r="BT10" s="49"/>
      <c r="BU10" s="50"/>
      <c r="BV10" s="48"/>
      <c r="BW10" s="49"/>
      <c r="BX10" s="50"/>
      <c r="BY10" s="48"/>
      <c r="BZ10" s="49"/>
      <c r="CA10" s="50"/>
    </row>
    <row r="11" spans="1:79" s="35" customFormat="1" ht="15.75" x14ac:dyDescent="0.25">
      <c r="A11" s="81" t="s">
        <v>56</v>
      </c>
      <c r="B11" s="219">
        <v>1</v>
      </c>
      <c r="C11" s="34" t="str">
        <f t="shared" ref="C11:C22" si="0">IF(AND((D11=MAX(D$11:D$25)),(D$28&lt;&gt;0)),"Tote","")</f>
        <v>Tote</v>
      </c>
      <c r="D11" s="222">
        <v>57</v>
      </c>
      <c r="E11" s="83">
        <v>1</v>
      </c>
      <c r="F11" s="34" t="str">
        <f t="shared" ref="F11:F22" si="1">IF(AND((G11=MAX(G$11:G$25)),(G$28&lt;&gt;0)),"Tote","")</f>
        <v/>
      </c>
      <c r="G11" s="78">
        <v>47</v>
      </c>
      <c r="H11" s="83">
        <v>1</v>
      </c>
      <c r="I11" s="34" t="str">
        <f t="shared" ref="I11:I22" si="2">IF(AND((J11=MAX(J$11:J$25)),(J$28&lt;&gt;0)),"Tote","")</f>
        <v/>
      </c>
      <c r="J11" s="78">
        <v>43</v>
      </c>
      <c r="K11" s="83"/>
      <c r="L11" s="34" t="str">
        <f t="shared" ref="L11:L22" si="3">IF(AND((M11=MAX(M$11:M$25)),(M$28&lt;&gt;0)),"Tote","")</f>
        <v/>
      </c>
      <c r="M11" s="78"/>
      <c r="N11" s="83">
        <v>7</v>
      </c>
      <c r="O11" s="34" t="str">
        <f t="shared" ref="O11:O22" si="4">IF(AND((P11=MAX(P$11:P$25)),(P$28&lt;&gt;0)),"Tote","")</f>
        <v>Tote</v>
      </c>
      <c r="P11" s="78">
        <v>58</v>
      </c>
      <c r="Q11" s="83"/>
      <c r="R11" s="34" t="str">
        <f t="shared" ref="R11:R22" si="5">IF(AND((S11=MAX(S$11:S$25)),(S$28&lt;&gt;0)),"Tote","")</f>
        <v/>
      </c>
      <c r="S11" s="78"/>
      <c r="T11" s="83">
        <v>8</v>
      </c>
      <c r="U11" s="34" t="str">
        <f t="shared" ref="U11:U22" si="6">IF(AND((V11=MAX(V$11:V$25)),(V$28&lt;&gt;0)),"Tote","")</f>
        <v>Tote</v>
      </c>
      <c r="V11" s="78">
        <v>53</v>
      </c>
      <c r="W11" s="83">
        <v>1</v>
      </c>
      <c r="X11" s="34" t="str">
        <f t="shared" ref="X11:X22" si="7">IF(AND((Y11=MAX(Y$11:Y$25)),(Y$28&lt;&gt;0)),"Tote","")</f>
        <v/>
      </c>
      <c r="Y11" s="78">
        <v>42</v>
      </c>
      <c r="Z11" s="83"/>
      <c r="AA11" s="34" t="str">
        <f t="shared" ref="AA11:AA22" si="8">IF(AND((AB11=MAX(AB$11:AB$25)),(AB$28&lt;&gt;0)),"Tote","")</f>
        <v/>
      </c>
      <c r="AB11" s="78"/>
      <c r="AC11" s="83"/>
      <c r="AD11" s="34" t="str">
        <f t="shared" ref="AD11:AD22" si="9">IF(AND((AE11=MAX(AE$11:AE$25)),(AE$28&lt;&gt;0)),"Tote","")</f>
        <v/>
      </c>
      <c r="AE11" s="78"/>
      <c r="AF11" s="83">
        <v>7</v>
      </c>
      <c r="AG11" s="34" t="str">
        <f t="shared" ref="AG11:AG22" si="10">IF(AND((AH11=MAX(AH$11:AH$25)),(AH$28&lt;&gt;0)),"Tote","")</f>
        <v/>
      </c>
      <c r="AH11" s="78">
        <v>52</v>
      </c>
      <c r="AI11" s="83"/>
      <c r="AJ11" s="34" t="str">
        <f t="shared" ref="AJ11:AJ22" si="11">IF(AND((AK11=MAX(AK$11:AK$25)),(AK$28&lt;&gt;0)),"Tote","")</f>
        <v/>
      </c>
      <c r="AK11" s="78"/>
      <c r="AL11" s="83">
        <v>1</v>
      </c>
      <c r="AM11" s="34" t="str">
        <f t="shared" ref="AM11:AM22" si="12">IF(AND((AN11=MAX(AN$11:AN$25)),(AN$28&lt;&gt;0)),"Tote","")</f>
        <v/>
      </c>
      <c r="AN11" s="78">
        <v>46</v>
      </c>
      <c r="AO11" s="83">
        <v>7</v>
      </c>
      <c r="AP11" s="34" t="str">
        <f t="shared" ref="AP11:AP25" si="13">IF(AND((AQ11=MAX(AQ$11:AQ$25)),(AQ$28&lt;&gt;0)),"Tote","")</f>
        <v/>
      </c>
      <c r="AQ11" s="78">
        <v>50</v>
      </c>
      <c r="AR11" s="83">
        <v>1</v>
      </c>
      <c r="AS11" s="34" t="str">
        <f>IF(AND((AT11=MAX(AT$11:AT$25)),(AT$28&lt;&gt;0)),"Tote","")</f>
        <v/>
      </c>
      <c r="AT11" s="78">
        <v>40</v>
      </c>
      <c r="AU11" s="83">
        <v>1</v>
      </c>
      <c r="AV11" s="34" t="str">
        <f t="shared" ref="AV11:AV22" si="14">IF(AND((AW11=MAX(AW$11:AW$25)),(AW$28&lt;&gt;0)),"Tote","")</f>
        <v>Tote</v>
      </c>
      <c r="AW11" s="78">
        <v>45</v>
      </c>
      <c r="AX11" s="83">
        <v>1</v>
      </c>
      <c r="AY11" s="34" t="str">
        <f t="shared" ref="AY11:AY22" si="15">IF(AND((AZ11=MAX(AZ$11:AZ$25)),(AZ$28&lt;&gt;0)),"Tote","")</f>
        <v/>
      </c>
      <c r="AZ11" s="78">
        <v>53</v>
      </c>
      <c r="BA11" s="83">
        <v>1</v>
      </c>
      <c r="BB11" s="34" t="str">
        <f t="shared" ref="BB11:BB22" si="16">IF(AND((BC11=MAX(BC$11:BC$25)),(BC$28&lt;&gt;0)),"Tote","")</f>
        <v/>
      </c>
      <c r="BC11" s="78">
        <v>35</v>
      </c>
      <c r="BD11" s="83">
        <v>1</v>
      </c>
      <c r="BE11" s="34" t="str">
        <f t="shared" ref="BE11:BE22" si="17">IF(AND((BF11=MAX(BF$11:BF$25)),(BF$28&lt;&gt;0)),"Tote","")</f>
        <v/>
      </c>
      <c r="BF11" s="78">
        <v>48</v>
      </c>
      <c r="BG11" s="83">
        <v>8</v>
      </c>
      <c r="BH11" s="34" t="str">
        <f t="shared" ref="BH11:BH22" si="18">IF(AND((BI11=MAX(BI$11:BI$25)),(BI$28&lt;&gt;0)),"Tote","")</f>
        <v/>
      </c>
      <c r="BI11" s="78">
        <v>42</v>
      </c>
      <c r="BJ11" s="83"/>
      <c r="BK11" s="34" t="str">
        <f t="shared" ref="BK11:BK22" si="19">IF(AND((BL11=MAX(BL$11:BL$25)),(BL$28&lt;&gt;0)),"Tote","")</f>
        <v/>
      </c>
      <c r="BL11" s="78"/>
      <c r="BM11" s="83"/>
      <c r="BN11" s="34" t="str">
        <f t="shared" ref="BN11:BN22" si="20">IF(AND((BO11=MAX(BO$11:BO$25)),(BO$28&lt;&gt;0)),"Tote","")</f>
        <v/>
      </c>
      <c r="BO11" s="78"/>
      <c r="BP11" s="83">
        <v>1</v>
      </c>
      <c r="BQ11" s="34" t="str">
        <f t="shared" ref="BQ11:BQ22" si="21">IF(AND((BR11=MAX(BR$11:BR$25)),(BR$28&lt;&gt;0)),"Tote","")</f>
        <v/>
      </c>
      <c r="BR11" s="78">
        <v>44</v>
      </c>
      <c r="BS11" s="83"/>
      <c r="BT11" s="34" t="str">
        <f t="shared" ref="BT11:BT22" si="22">IF(AND((BU11=MAX(BU$11:BU$25)),(BU$28&lt;&gt;0)),"Tote","")</f>
        <v/>
      </c>
      <c r="BU11" s="78"/>
      <c r="BV11" s="83"/>
      <c r="BW11" s="34" t="str">
        <f t="shared" ref="BW11:BW22" si="23">IF(AND((BX11=MAX(BX$11:BX$25)),(BX$28&lt;&gt;0)),"Tote","")</f>
        <v/>
      </c>
      <c r="BX11" s="78"/>
      <c r="BY11" s="83"/>
      <c r="BZ11" s="34" t="str">
        <f t="shared" ref="BZ11:BZ22" si="24">IF(AND((CA11=MAX(CA$11:CA$25)),(CA$28&lt;&gt;0)),"Tote","")</f>
        <v/>
      </c>
      <c r="CA11" s="78"/>
    </row>
    <row r="12" spans="1:79" s="38" customFormat="1" ht="15.75" x14ac:dyDescent="0.25">
      <c r="A12" s="82" t="s">
        <v>11</v>
      </c>
      <c r="B12" s="220">
        <v>2</v>
      </c>
      <c r="C12" s="37" t="str">
        <f t="shared" si="0"/>
        <v/>
      </c>
      <c r="D12" s="223">
        <v>48</v>
      </c>
      <c r="E12" s="84"/>
      <c r="F12" s="37" t="str">
        <f t="shared" si="1"/>
        <v/>
      </c>
      <c r="G12" s="79"/>
      <c r="H12" s="84">
        <v>2</v>
      </c>
      <c r="I12" s="37" t="str">
        <f t="shared" si="2"/>
        <v/>
      </c>
      <c r="J12" s="79">
        <v>42</v>
      </c>
      <c r="K12" s="84">
        <v>2</v>
      </c>
      <c r="L12" s="37" t="str">
        <f t="shared" si="3"/>
        <v/>
      </c>
      <c r="M12" s="79">
        <v>49</v>
      </c>
      <c r="N12" s="84">
        <v>3</v>
      </c>
      <c r="O12" s="37" t="str">
        <f t="shared" si="4"/>
        <v/>
      </c>
      <c r="P12" s="79">
        <v>50</v>
      </c>
      <c r="Q12" s="84"/>
      <c r="R12" s="37" t="str">
        <f t="shared" si="5"/>
        <v/>
      </c>
      <c r="S12" s="79"/>
      <c r="T12" s="84">
        <v>1</v>
      </c>
      <c r="U12" s="37" t="str">
        <f t="shared" si="6"/>
        <v/>
      </c>
      <c r="V12" s="79">
        <v>38</v>
      </c>
      <c r="W12" s="84"/>
      <c r="X12" s="37" t="str">
        <f t="shared" si="7"/>
        <v/>
      </c>
      <c r="Y12" s="79"/>
      <c r="Z12" s="84"/>
      <c r="AA12" s="37" t="str">
        <f t="shared" si="8"/>
        <v/>
      </c>
      <c r="AB12" s="79"/>
      <c r="AC12" s="84"/>
      <c r="AD12" s="37" t="str">
        <f t="shared" si="9"/>
        <v/>
      </c>
      <c r="AE12" s="79"/>
      <c r="AF12" s="84"/>
      <c r="AG12" s="37" t="str">
        <f t="shared" si="10"/>
        <v/>
      </c>
      <c r="AH12" s="79"/>
      <c r="AI12" s="84"/>
      <c r="AJ12" s="37" t="str">
        <f t="shared" si="11"/>
        <v/>
      </c>
      <c r="AK12" s="79"/>
      <c r="AL12" s="84"/>
      <c r="AM12" s="37" t="str">
        <f t="shared" si="12"/>
        <v/>
      </c>
      <c r="AN12" s="79"/>
      <c r="AO12" s="84"/>
      <c r="AP12" s="37" t="str">
        <f t="shared" si="13"/>
        <v/>
      </c>
      <c r="AQ12" s="79"/>
      <c r="AR12" s="84">
        <v>8</v>
      </c>
      <c r="AS12" s="37"/>
      <c r="AT12" s="79">
        <v>55</v>
      </c>
      <c r="AU12" s="84">
        <v>2</v>
      </c>
      <c r="AV12" s="37" t="str">
        <f t="shared" si="14"/>
        <v/>
      </c>
      <c r="AW12" s="79">
        <v>40</v>
      </c>
      <c r="AX12" s="84">
        <v>2</v>
      </c>
      <c r="AY12" s="37" t="str">
        <f t="shared" si="15"/>
        <v/>
      </c>
      <c r="AZ12" s="79">
        <v>33</v>
      </c>
      <c r="BA12" s="84">
        <v>2</v>
      </c>
      <c r="BB12" s="37" t="str">
        <f t="shared" si="16"/>
        <v/>
      </c>
      <c r="BC12" s="79">
        <v>35</v>
      </c>
      <c r="BD12" s="84">
        <v>2</v>
      </c>
      <c r="BE12" s="37" t="str">
        <f t="shared" si="17"/>
        <v/>
      </c>
      <c r="BF12" s="79">
        <v>42</v>
      </c>
      <c r="BG12" s="84">
        <v>6</v>
      </c>
      <c r="BH12" s="37" t="str">
        <f t="shared" si="18"/>
        <v/>
      </c>
      <c r="BI12" s="79">
        <v>50</v>
      </c>
      <c r="BJ12" s="84">
        <v>1</v>
      </c>
      <c r="BK12" s="37" t="str">
        <f t="shared" si="19"/>
        <v/>
      </c>
      <c r="BL12" s="79">
        <v>43</v>
      </c>
      <c r="BM12" s="84">
        <v>1</v>
      </c>
      <c r="BN12" s="37" t="str">
        <f t="shared" si="20"/>
        <v/>
      </c>
      <c r="BO12" s="79">
        <v>47</v>
      </c>
      <c r="BP12" s="84"/>
      <c r="BQ12" s="37" t="str">
        <f t="shared" si="21"/>
        <v/>
      </c>
      <c r="BR12" s="79"/>
      <c r="BS12" s="84"/>
      <c r="BT12" s="37" t="str">
        <f t="shared" si="22"/>
        <v/>
      </c>
      <c r="BU12" s="79"/>
      <c r="BV12" s="84"/>
      <c r="BW12" s="37" t="str">
        <f t="shared" si="23"/>
        <v/>
      </c>
      <c r="BX12" s="79"/>
      <c r="BY12" s="84"/>
      <c r="BZ12" s="37" t="str">
        <f t="shared" si="24"/>
        <v/>
      </c>
      <c r="CA12" s="79"/>
    </row>
    <row r="13" spans="1:79" s="35" customFormat="1" ht="15.75" x14ac:dyDescent="0.25">
      <c r="A13" s="81" t="s">
        <v>14</v>
      </c>
      <c r="B13" s="221">
        <v>3</v>
      </c>
      <c r="C13" s="34" t="str">
        <f t="shared" si="0"/>
        <v/>
      </c>
      <c r="D13" s="224">
        <v>42</v>
      </c>
      <c r="E13" s="83">
        <v>4</v>
      </c>
      <c r="F13" s="34" t="str">
        <f t="shared" si="1"/>
        <v/>
      </c>
      <c r="G13" s="78">
        <v>42</v>
      </c>
      <c r="H13" s="83"/>
      <c r="I13" s="34" t="str">
        <f t="shared" si="2"/>
        <v/>
      </c>
      <c r="J13" s="78"/>
      <c r="K13" s="83"/>
      <c r="L13" s="34" t="str">
        <f t="shared" si="3"/>
        <v/>
      </c>
      <c r="M13" s="78"/>
      <c r="N13" s="83">
        <v>6</v>
      </c>
      <c r="O13" s="34" t="str">
        <f t="shared" si="4"/>
        <v/>
      </c>
      <c r="P13" s="78">
        <v>44</v>
      </c>
      <c r="Q13" s="83"/>
      <c r="R13" s="34" t="str">
        <f t="shared" si="5"/>
        <v/>
      </c>
      <c r="S13" s="78"/>
      <c r="T13" s="83"/>
      <c r="U13" s="34" t="str">
        <f t="shared" si="6"/>
        <v/>
      </c>
      <c r="V13" s="78"/>
      <c r="W13" s="83">
        <v>6</v>
      </c>
      <c r="X13" s="34" t="str">
        <f t="shared" si="7"/>
        <v/>
      </c>
      <c r="Y13" s="78">
        <v>46</v>
      </c>
      <c r="Z13" s="83"/>
      <c r="AA13" s="34" t="str">
        <f t="shared" si="8"/>
        <v/>
      </c>
      <c r="AB13" s="78"/>
      <c r="AC13" s="83"/>
      <c r="AD13" s="34" t="str">
        <f t="shared" si="9"/>
        <v/>
      </c>
      <c r="AE13" s="78"/>
      <c r="AF13" s="83"/>
      <c r="AG13" s="34" t="str">
        <f t="shared" si="10"/>
        <v/>
      </c>
      <c r="AH13" s="78"/>
      <c r="AI13" s="83">
        <v>4</v>
      </c>
      <c r="AJ13" s="34" t="str">
        <f t="shared" si="11"/>
        <v/>
      </c>
      <c r="AK13" s="78">
        <v>41</v>
      </c>
      <c r="AL13" s="83">
        <v>4</v>
      </c>
      <c r="AM13" s="34" t="str">
        <f t="shared" si="12"/>
        <v/>
      </c>
      <c r="AN13" s="78">
        <v>46</v>
      </c>
      <c r="AO13" s="83"/>
      <c r="AP13" s="34" t="str">
        <f t="shared" si="13"/>
        <v/>
      </c>
      <c r="AQ13" s="78"/>
      <c r="AR13" s="83"/>
      <c r="AS13" s="34" t="str">
        <f>IF(AND((AT13=MAX(AT$11:AT$25)),(AT$28&lt;&gt;0)),"Tote","")</f>
        <v/>
      </c>
      <c r="AT13" s="78"/>
      <c r="AU13" s="83"/>
      <c r="AV13" s="34" t="str">
        <f t="shared" si="14"/>
        <v/>
      </c>
      <c r="AW13" s="78"/>
      <c r="AX13" s="83"/>
      <c r="AY13" s="34" t="str">
        <f t="shared" si="15"/>
        <v/>
      </c>
      <c r="AZ13" s="78"/>
      <c r="BA13" s="83"/>
      <c r="BB13" s="34" t="str">
        <f t="shared" si="16"/>
        <v/>
      </c>
      <c r="BC13" s="78"/>
      <c r="BD13" s="83">
        <v>5</v>
      </c>
      <c r="BE13" s="34" t="str">
        <f t="shared" si="17"/>
        <v/>
      </c>
      <c r="BF13" s="78">
        <v>49</v>
      </c>
      <c r="BG13" s="83"/>
      <c r="BH13" s="34" t="str">
        <f t="shared" si="18"/>
        <v/>
      </c>
      <c r="BI13" s="78"/>
      <c r="BJ13" s="83"/>
      <c r="BK13" s="34" t="str">
        <f t="shared" si="19"/>
        <v/>
      </c>
      <c r="BL13" s="78"/>
      <c r="BM13" s="83"/>
      <c r="BN13" s="34" t="str">
        <f t="shared" si="20"/>
        <v/>
      </c>
      <c r="BO13" s="78"/>
      <c r="BP13" s="83"/>
      <c r="BQ13" s="34" t="str">
        <f t="shared" si="21"/>
        <v/>
      </c>
      <c r="BR13" s="78"/>
      <c r="BS13" s="83"/>
      <c r="BT13" s="34" t="str">
        <f t="shared" si="22"/>
        <v/>
      </c>
      <c r="BU13" s="78"/>
      <c r="BV13" s="83"/>
      <c r="BW13" s="34" t="str">
        <f t="shared" si="23"/>
        <v/>
      </c>
      <c r="BX13" s="78"/>
      <c r="BY13" s="83"/>
      <c r="BZ13" s="34" t="str">
        <f t="shared" si="24"/>
        <v/>
      </c>
      <c r="CA13" s="78"/>
    </row>
    <row r="14" spans="1:79" s="38" customFormat="1" ht="15.75" x14ac:dyDescent="0.25">
      <c r="A14" s="82" t="s">
        <v>63</v>
      </c>
      <c r="B14" s="220">
        <v>4</v>
      </c>
      <c r="C14" s="37" t="str">
        <f t="shared" si="0"/>
        <v/>
      </c>
      <c r="D14" s="223">
        <v>41</v>
      </c>
      <c r="E14" s="84">
        <v>3</v>
      </c>
      <c r="F14" s="37" t="str">
        <f t="shared" si="1"/>
        <v/>
      </c>
      <c r="G14" s="79">
        <v>36</v>
      </c>
      <c r="H14" s="84">
        <v>3</v>
      </c>
      <c r="I14" s="37" t="str">
        <f t="shared" si="2"/>
        <v/>
      </c>
      <c r="J14" s="79">
        <v>42</v>
      </c>
      <c r="K14" s="84">
        <v>5</v>
      </c>
      <c r="L14" s="37" t="str">
        <f t="shared" si="3"/>
        <v/>
      </c>
      <c r="M14" s="79">
        <v>51</v>
      </c>
      <c r="N14" s="84">
        <v>5</v>
      </c>
      <c r="O14" s="37" t="str">
        <f t="shared" si="4"/>
        <v/>
      </c>
      <c r="P14" s="79">
        <v>48</v>
      </c>
      <c r="Q14" s="84"/>
      <c r="R14" s="37" t="str">
        <f t="shared" si="5"/>
        <v/>
      </c>
      <c r="S14" s="79"/>
      <c r="T14" s="84">
        <v>7</v>
      </c>
      <c r="U14" s="37" t="str">
        <f t="shared" si="6"/>
        <v/>
      </c>
      <c r="V14" s="79">
        <v>52</v>
      </c>
      <c r="W14" s="84">
        <v>7</v>
      </c>
      <c r="X14" s="37" t="str">
        <f t="shared" si="7"/>
        <v>Tote</v>
      </c>
      <c r="Y14" s="79">
        <v>47</v>
      </c>
      <c r="Z14" s="84"/>
      <c r="AA14" s="37" t="str">
        <f t="shared" si="8"/>
        <v/>
      </c>
      <c r="AB14" s="79"/>
      <c r="AC14" s="84"/>
      <c r="AD14" s="37" t="str">
        <f t="shared" si="9"/>
        <v/>
      </c>
      <c r="AE14" s="79"/>
      <c r="AF14" s="84">
        <v>2</v>
      </c>
      <c r="AG14" s="37" t="str">
        <f t="shared" si="10"/>
        <v/>
      </c>
      <c r="AH14" s="79">
        <v>51</v>
      </c>
      <c r="AI14" s="84">
        <v>2</v>
      </c>
      <c r="AJ14" s="37" t="str">
        <f t="shared" si="11"/>
        <v/>
      </c>
      <c r="AK14" s="79">
        <v>46</v>
      </c>
      <c r="AL14" s="84">
        <v>2</v>
      </c>
      <c r="AM14" s="37" t="str">
        <f t="shared" si="12"/>
        <v/>
      </c>
      <c r="AN14" s="79">
        <v>45</v>
      </c>
      <c r="AO14" s="84">
        <v>1</v>
      </c>
      <c r="AP14" s="37" t="str">
        <f t="shared" si="13"/>
        <v/>
      </c>
      <c r="AQ14" s="79">
        <v>45</v>
      </c>
      <c r="AR14" s="84">
        <v>5</v>
      </c>
      <c r="AS14" s="37" t="str">
        <f>IF(AND((AT14=MAX(AT$11:AT$25)),(AT$28&lt;&gt;0)),"Tote","")</f>
        <v>Tote</v>
      </c>
      <c r="AT14" s="79">
        <v>55</v>
      </c>
      <c r="AU14" s="84">
        <v>4</v>
      </c>
      <c r="AV14" s="37" t="str">
        <f t="shared" si="14"/>
        <v/>
      </c>
      <c r="AW14" s="79">
        <v>43</v>
      </c>
      <c r="AX14" s="84"/>
      <c r="AY14" s="37" t="str">
        <f t="shared" si="15"/>
        <v/>
      </c>
      <c r="AZ14" s="79"/>
      <c r="BA14" s="84">
        <v>5</v>
      </c>
      <c r="BB14" s="37" t="str">
        <f t="shared" si="16"/>
        <v/>
      </c>
      <c r="BC14" s="79">
        <v>47</v>
      </c>
      <c r="BD14" s="84">
        <v>6</v>
      </c>
      <c r="BE14" s="37" t="str">
        <f t="shared" si="17"/>
        <v/>
      </c>
      <c r="BF14" s="79">
        <v>44</v>
      </c>
      <c r="BG14" s="84">
        <v>5</v>
      </c>
      <c r="BH14" s="37" t="str">
        <f t="shared" si="18"/>
        <v/>
      </c>
      <c r="BI14" s="79">
        <v>60</v>
      </c>
      <c r="BJ14" s="84">
        <v>5</v>
      </c>
      <c r="BK14" s="37" t="str">
        <f t="shared" si="19"/>
        <v>Tote</v>
      </c>
      <c r="BL14" s="79">
        <v>56</v>
      </c>
      <c r="BM14" s="84">
        <v>2</v>
      </c>
      <c r="BN14" s="37" t="str">
        <f t="shared" si="20"/>
        <v>Tote</v>
      </c>
      <c r="BO14" s="79">
        <v>58</v>
      </c>
      <c r="BP14" s="84">
        <v>2</v>
      </c>
      <c r="BQ14" s="37" t="str">
        <f t="shared" si="21"/>
        <v/>
      </c>
      <c r="BR14" s="79">
        <v>51</v>
      </c>
      <c r="BS14" s="84"/>
      <c r="BT14" s="37" t="str">
        <f t="shared" si="22"/>
        <v/>
      </c>
      <c r="BU14" s="79"/>
      <c r="BV14" s="84"/>
      <c r="BW14" s="37" t="str">
        <f t="shared" si="23"/>
        <v/>
      </c>
      <c r="BX14" s="79"/>
      <c r="BY14" s="84"/>
      <c r="BZ14" s="37" t="str">
        <f t="shared" si="24"/>
        <v/>
      </c>
      <c r="CA14" s="79"/>
    </row>
    <row r="15" spans="1:79" s="35" customFormat="1" ht="15.75" x14ac:dyDescent="0.25">
      <c r="A15" s="81" t="s">
        <v>12</v>
      </c>
      <c r="B15" s="221">
        <v>5</v>
      </c>
      <c r="C15" s="34" t="str">
        <f t="shared" si="0"/>
        <v/>
      </c>
      <c r="D15" s="224">
        <v>51</v>
      </c>
      <c r="E15" s="83"/>
      <c r="F15" s="34" t="str">
        <f t="shared" si="1"/>
        <v/>
      </c>
      <c r="G15" s="78"/>
      <c r="H15" s="83">
        <v>5</v>
      </c>
      <c r="I15" s="34" t="str">
        <f t="shared" si="2"/>
        <v/>
      </c>
      <c r="J15" s="78">
        <v>45</v>
      </c>
      <c r="K15" s="83">
        <v>4</v>
      </c>
      <c r="L15" s="34" t="str">
        <f t="shared" si="3"/>
        <v/>
      </c>
      <c r="M15" s="78">
        <v>49</v>
      </c>
      <c r="N15" s="83"/>
      <c r="O15" s="34" t="str">
        <f t="shared" si="4"/>
        <v/>
      </c>
      <c r="P15" s="78"/>
      <c r="Q15" s="83"/>
      <c r="R15" s="34" t="str">
        <f t="shared" si="5"/>
        <v/>
      </c>
      <c r="S15" s="78"/>
      <c r="T15" s="83">
        <v>5</v>
      </c>
      <c r="U15" s="34" t="str">
        <f t="shared" si="6"/>
        <v/>
      </c>
      <c r="V15" s="78">
        <v>45</v>
      </c>
      <c r="W15" s="83"/>
      <c r="X15" s="34" t="str">
        <f t="shared" si="7"/>
        <v/>
      </c>
      <c r="Y15" s="78"/>
      <c r="Z15" s="83"/>
      <c r="AA15" s="34" t="str">
        <f t="shared" si="8"/>
        <v/>
      </c>
      <c r="AB15" s="78"/>
      <c r="AC15" s="83"/>
      <c r="AD15" s="34" t="str">
        <f t="shared" si="9"/>
        <v/>
      </c>
      <c r="AE15" s="78"/>
      <c r="AF15" s="83">
        <v>6</v>
      </c>
      <c r="AG15" s="34" t="str">
        <f t="shared" si="10"/>
        <v/>
      </c>
      <c r="AH15" s="78">
        <v>46</v>
      </c>
      <c r="AI15" s="83"/>
      <c r="AJ15" s="34" t="str">
        <f t="shared" si="11"/>
        <v/>
      </c>
      <c r="AK15" s="78"/>
      <c r="AL15" s="83">
        <v>9</v>
      </c>
      <c r="AM15" s="34" t="str">
        <f t="shared" si="12"/>
        <v/>
      </c>
      <c r="AN15" s="78">
        <v>42</v>
      </c>
      <c r="AO15" s="83"/>
      <c r="AP15" s="34" t="str">
        <f t="shared" si="13"/>
        <v/>
      </c>
      <c r="AQ15" s="78"/>
      <c r="AR15" s="83">
        <v>3</v>
      </c>
      <c r="AS15" s="34"/>
      <c r="AT15" s="78">
        <v>55</v>
      </c>
      <c r="AU15" s="83">
        <v>3</v>
      </c>
      <c r="AV15" s="34" t="str">
        <f t="shared" si="14"/>
        <v/>
      </c>
      <c r="AW15" s="78">
        <v>37</v>
      </c>
      <c r="AX15" s="83">
        <v>8</v>
      </c>
      <c r="AY15" s="34" t="str">
        <f t="shared" si="15"/>
        <v/>
      </c>
      <c r="AZ15" s="78">
        <v>44</v>
      </c>
      <c r="BA15" s="83">
        <v>3</v>
      </c>
      <c r="BB15" s="34" t="str">
        <f t="shared" si="16"/>
        <v>Tote</v>
      </c>
      <c r="BC15" s="78">
        <v>49</v>
      </c>
      <c r="BD15" s="83"/>
      <c r="BE15" s="34" t="str">
        <f t="shared" si="17"/>
        <v/>
      </c>
      <c r="BF15" s="78"/>
      <c r="BG15" s="83">
        <v>2</v>
      </c>
      <c r="BH15" s="34" t="str">
        <f t="shared" si="18"/>
        <v/>
      </c>
      <c r="BI15" s="78">
        <v>54</v>
      </c>
      <c r="BJ15" s="83">
        <v>7</v>
      </c>
      <c r="BK15" s="34" t="str">
        <f t="shared" si="19"/>
        <v/>
      </c>
      <c r="BL15" s="78">
        <v>41</v>
      </c>
      <c r="BM15" s="83">
        <v>4</v>
      </c>
      <c r="BN15" s="34" t="str">
        <f t="shared" si="20"/>
        <v/>
      </c>
      <c r="BO15" s="78">
        <v>39</v>
      </c>
      <c r="BP15" s="83">
        <v>4</v>
      </c>
      <c r="BQ15" s="34" t="str">
        <f t="shared" si="21"/>
        <v/>
      </c>
      <c r="BR15" s="78">
        <v>46</v>
      </c>
      <c r="BS15" s="83"/>
      <c r="BT15" s="34" t="str">
        <f t="shared" si="22"/>
        <v/>
      </c>
      <c r="BU15" s="78"/>
      <c r="BV15" s="83"/>
      <c r="BW15" s="34" t="str">
        <f t="shared" si="23"/>
        <v/>
      </c>
      <c r="BX15" s="78"/>
      <c r="BY15" s="83"/>
      <c r="BZ15" s="34" t="str">
        <f t="shared" si="24"/>
        <v/>
      </c>
      <c r="CA15" s="78"/>
    </row>
    <row r="16" spans="1:79" s="38" customFormat="1" ht="15.75" x14ac:dyDescent="0.25">
      <c r="A16" s="82" t="s">
        <v>13</v>
      </c>
      <c r="B16" s="220">
        <v>6</v>
      </c>
      <c r="C16" s="37" t="str">
        <f t="shared" si="0"/>
        <v/>
      </c>
      <c r="D16" s="223">
        <v>41</v>
      </c>
      <c r="E16" s="84">
        <v>7</v>
      </c>
      <c r="F16" s="37" t="str">
        <f t="shared" si="1"/>
        <v/>
      </c>
      <c r="G16" s="79">
        <v>40</v>
      </c>
      <c r="H16" s="84">
        <v>8</v>
      </c>
      <c r="I16" s="37" t="str">
        <f t="shared" si="2"/>
        <v/>
      </c>
      <c r="J16" s="79">
        <v>42</v>
      </c>
      <c r="K16" s="84">
        <v>7</v>
      </c>
      <c r="L16" s="37" t="str">
        <f t="shared" si="3"/>
        <v>Tote</v>
      </c>
      <c r="M16" s="79">
        <v>57</v>
      </c>
      <c r="N16" s="84"/>
      <c r="O16" s="37" t="str">
        <f t="shared" si="4"/>
        <v/>
      </c>
      <c r="P16" s="79"/>
      <c r="Q16" s="84"/>
      <c r="R16" s="37" t="str">
        <f t="shared" si="5"/>
        <v/>
      </c>
      <c r="S16" s="79"/>
      <c r="T16" s="84">
        <v>4</v>
      </c>
      <c r="U16" s="37" t="str">
        <f t="shared" si="6"/>
        <v/>
      </c>
      <c r="V16" s="79">
        <v>50</v>
      </c>
      <c r="W16" s="84">
        <v>8</v>
      </c>
      <c r="X16" s="37" t="str">
        <f t="shared" si="7"/>
        <v/>
      </c>
      <c r="Y16" s="79">
        <v>43</v>
      </c>
      <c r="Z16" s="84"/>
      <c r="AA16" s="37" t="str">
        <f t="shared" si="8"/>
        <v/>
      </c>
      <c r="AB16" s="79"/>
      <c r="AC16" s="84"/>
      <c r="AD16" s="37" t="str">
        <f t="shared" si="9"/>
        <v/>
      </c>
      <c r="AE16" s="79"/>
      <c r="AF16" s="84"/>
      <c r="AG16" s="37" t="str">
        <f t="shared" si="10"/>
        <v/>
      </c>
      <c r="AH16" s="79"/>
      <c r="AI16" s="84">
        <v>8</v>
      </c>
      <c r="AJ16" s="37" t="str">
        <f t="shared" si="11"/>
        <v/>
      </c>
      <c r="AK16" s="79">
        <v>40</v>
      </c>
      <c r="AL16" s="84">
        <v>8</v>
      </c>
      <c r="AM16" s="37" t="str">
        <f t="shared" si="12"/>
        <v/>
      </c>
      <c r="AN16" s="79">
        <v>51</v>
      </c>
      <c r="AO16" s="84">
        <v>6</v>
      </c>
      <c r="AP16" s="37" t="str">
        <f t="shared" si="13"/>
        <v>Tote</v>
      </c>
      <c r="AQ16" s="79">
        <v>53</v>
      </c>
      <c r="AR16" s="84">
        <v>7</v>
      </c>
      <c r="AS16" s="37" t="str">
        <f t="shared" ref="AS16:AS22" si="25">IF(AND((AT16=MAX(AT$11:AT$25)),(AT$28&lt;&gt;0)),"Tote","")</f>
        <v/>
      </c>
      <c r="AT16" s="79">
        <v>37</v>
      </c>
      <c r="AU16" s="84">
        <v>8</v>
      </c>
      <c r="AV16" s="37" t="str">
        <f t="shared" si="14"/>
        <v/>
      </c>
      <c r="AW16" s="79">
        <v>38</v>
      </c>
      <c r="AX16" s="84"/>
      <c r="AY16" s="37" t="str">
        <f t="shared" si="15"/>
        <v/>
      </c>
      <c r="AZ16" s="79"/>
      <c r="BA16" s="84">
        <v>7</v>
      </c>
      <c r="BB16" s="37" t="str">
        <f t="shared" si="16"/>
        <v/>
      </c>
      <c r="BC16" s="79">
        <v>37</v>
      </c>
      <c r="BD16" s="84">
        <v>9</v>
      </c>
      <c r="BE16" s="37" t="str">
        <f t="shared" si="17"/>
        <v/>
      </c>
      <c r="BF16" s="79">
        <v>46</v>
      </c>
      <c r="BG16" s="84"/>
      <c r="BH16" s="37" t="str">
        <f t="shared" si="18"/>
        <v/>
      </c>
      <c r="BI16" s="79"/>
      <c r="BJ16" s="84"/>
      <c r="BK16" s="37" t="str">
        <f t="shared" si="19"/>
        <v/>
      </c>
      <c r="BL16" s="79"/>
      <c r="BM16" s="84">
        <v>7</v>
      </c>
      <c r="BN16" s="37" t="str">
        <f t="shared" si="20"/>
        <v/>
      </c>
      <c r="BO16" s="79">
        <v>52</v>
      </c>
      <c r="BP16" s="84">
        <v>8</v>
      </c>
      <c r="BQ16" s="37" t="str">
        <f t="shared" si="21"/>
        <v/>
      </c>
      <c r="BR16" s="79">
        <v>42</v>
      </c>
      <c r="BS16" s="84"/>
      <c r="BT16" s="37" t="str">
        <f t="shared" si="22"/>
        <v/>
      </c>
      <c r="BU16" s="79"/>
      <c r="BV16" s="84"/>
      <c r="BW16" s="37" t="str">
        <f t="shared" si="23"/>
        <v/>
      </c>
      <c r="BX16" s="79"/>
      <c r="BY16" s="84"/>
      <c r="BZ16" s="37" t="str">
        <f t="shared" si="24"/>
        <v/>
      </c>
      <c r="CA16" s="79"/>
    </row>
    <row r="17" spans="1:86" s="35" customFormat="1" ht="15.75" x14ac:dyDescent="0.25">
      <c r="A17" s="81" t="s">
        <v>10</v>
      </c>
      <c r="B17" s="221">
        <v>7</v>
      </c>
      <c r="C17" s="34" t="str">
        <f t="shared" si="0"/>
        <v/>
      </c>
      <c r="D17" s="224">
        <v>43</v>
      </c>
      <c r="E17" s="83">
        <v>6</v>
      </c>
      <c r="F17" s="34" t="str">
        <f t="shared" si="1"/>
        <v/>
      </c>
      <c r="G17" s="78">
        <v>34</v>
      </c>
      <c r="H17" s="83">
        <v>6</v>
      </c>
      <c r="I17" s="34" t="str">
        <f t="shared" si="2"/>
        <v>Tote</v>
      </c>
      <c r="J17" s="78">
        <v>47</v>
      </c>
      <c r="K17" s="83">
        <v>6</v>
      </c>
      <c r="L17" s="34" t="str">
        <f t="shared" si="3"/>
        <v>Tote</v>
      </c>
      <c r="M17" s="78">
        <v>57</v>
      </c>
      <c r="N17" s="83">
        <v>2</v>
      </c>
      <c r="O17" s="34" t="str">
        <f t="shared" si="4"/>
        <v/>
      </c>
      <c r="P17" s="78">
        <v>40</v>
      </c>
      <c r="Q17" s="83"/>
      <c r="R17" s="34" t="str">
        <f t="shared" si="5"/>
        <v/>
      </c>
      <c r="S17" s="78"/>
      <c r="T17" s="83">
        <v>6</v>
      </c>
      <c r="U17" s="34" t="str">
        <f t="shared" si="6"/>
        <v/>
      </c>
      <c r="V17" s="78">
        <v>43</v>
      </c>
      <c r="W17" s="83">
        <v>3</v>
      </c>
      <c r="X17" s="34" t="str">
        <f t="shared" si="7"/>
        <v/>
      </c>
      <c r="Y17" s="78">
        <v>40</v>
      </c>
      <c r="Z17" s="83"/>
      <c r="AA17" s="34" t="str">
        <f t="shared" si="8"/>
        <v/>
      </c>
      <c r="AB17" s="78"/>
      <c r="AC17" s="83"/>
      <c r="AD17" s="34" t="str">
        <f t="shared" si="9"/>
        <v/>
      </c>
      <c r="AE17" s="78"/>
      <c r="AF17" s="83">
        <v>1</v>
      </c>
      <c r="AG17" s="34" t="str">
        <f t="shared" si="10"/>
        <v>Tote</v>
      </c>
      <c r="AH17" s="78">
        <v>60</v>
      </c>
      <c r="AI17" s="83">
        <v>7</v>
      </c>
      <c r="AJ17" s="34" t="str">
        <f t="shared" si="11"/>
        <v>Tote</v>
      </c>
      <c r="AK17" s="78">
        <v>48</v>
      </c>
      <c r="AL17" s="83">
        <v>7</v>
      </c>
      <c r="AM17" s="34" t="str">
        <f t="shared" si="12"/>
        <v/>
      </c>
      <c r="AN17" s="78">
        <v>41</v>
      </c>
      <c r="AO17" s="83"/>
      <c r="AP17" s="34" t="str">
        <f t="shared" si="13"/>
        <v/>
      </c>
      <c r="AQ17" s="78"/>
      <c r="AR17" s="83"/>
      <c r="AS17" s="34" t="str">
        <f t="shared" si="25"/>
        <v/>
      </c>
      <c r="AT17" s="78"/>
      <c r="AU17" s="83"/>
      <c r="AV17" s="34" t="str">
        <f t="shared" si="14"/>
        <v/>
      </c>
      <c r="AW17" s="78"/>
      <c r="AX17" s="83"/>
      <c r="AY17" s="34" t="str">
        <f t="shared" si="15"/>
        <v/>
      </c>
      <c r="AZ17" s="78"/>
      <c r="BA17" s="83"/>
      <c r="BB17" s="34" t="str">
        <f t="shared" si="16"/>
        <v/>
      </c>
      <c r="BC17" s="78"/>
      <c r="BD17" s="83"/>
      <c r="BE17" s="34" t="str">
        <f t="shared" si="17"/>
        <v/>
      </c>
      <c r="BF17" s="78"/>
      <c r="BG17" s="83">
        <v>4</v>
      </c>
      <c r="BH17" s="34" t="str">
        <f t="shared" si="18"/>
        <v/>
      </c>
      <c r="BI17" s="78">
        <v>38</v>
      </c>
      <c r="BJ17" s="83">
        <v>4</v>
      </c>
      <c r="BK17" s="34" t="str">
        <f t="shared" si="19"/>
        <v/>
      </c>
      <c r="BL17" s="78">
        <v>41</v>
      </c>
      <c r="BM17" s="83"/>
      <c r="BN17" s="34" t="str">
        <f t="shared" si="20"/>
        <v/>
      </c>
      <c r="BO17" s="78"/>
      <c r="BP17" s="83">
        <v>7</v>
      </c>
      <c r="BQ17" s="34" t="str">
        <f t="shared" si="21"/>
        <v/>
      </c>
      <c r="BR17" s="78">
        <v>40</v>
      </c>
      <c r="BS17" s="83"/>
      <c r="BT17" s="34" t="str">
        <f t="shared" si="22"/>
        <v/>
      </c>
      <c r="BU17" s="78"/>
      <c r="BV17" s="83"/>
      <c r="BW17" s="34" t="str">
        <f t="shared" si="23"/>
        <v/>
      </c>
      <c r="BX17" s="78"/>
      <c r="BY17" s="83"/>
      <c r="BZ17" s="34" t="str">
        <f t="shared" si="24"/>
        <v/>
      </c>
      <c r="CA17" s="78"/>
    </row>
    <row r="18" spans="1:86" s="38" customFormat="1" ht="15.75" x14ac:dyDescent="0.25">
      <c r="A18" s="82" t="s">
        <v>54</v>
      </c>
      <c r="B18" s="220"/>
      <c r="C18" s="37" t="str">
        <f t="shared" si="0"/>
        <v/>
      </c>
      <c r="D18" s="223"/>
      <c r="E18" s="84">
        <v>2</v>
      </c>
      <c r="F18" s="37" t="str">
        <f t="shared" si="1"/>
        <v/>
      </c>
      <c r="G18" s="79">
        <v>40</v>
      </c>
      <c r="H18" s="84">
        <v>9</v>
      </c>
      <c r="I18" s="37" t="str">
        <f t="shared" si="2"/>
        <v/>
      </c>
      <c r="J18" s="79">
        <v>38</v>
      </c>
      <c r="K18" s="84">
        <v>1</v>
      </c>
      <c r="L18" s="37" t="str">
        <f t="shared" si="3"/>
        <v/>
      </c>
      <c r="M18" s="79">
        <v>45</v>
      </c>
      <c r="N18" s="84"/>
      <c r="O18" s="37" t="str">
        <f t="shared" si="4"/>
        <v/>
      </c>
      <c r="P18" s="79"/>
      <c r="Q18" s="84"/>
      <c r="R18" s="37" t="str">
        <f t="shared" si="5"/>
        <v/>
      </c>
      <c r="S18" s="79"/>
      <c r="T18" s="84"/>
      <c r="U18" s="37" t="str">
        <f t="shared" si="6"/>
        <v/>
      </c>
      <c r="V18" s="79"/>
      <c r="W18" s="84">
        <v>5</v>
      </c>
      <c r="X18" s="37" t="str">
        <f t="shared" si="7"/>
        <v/>
      </c>
      <c r="Y18" s="79">
        <v>39</v>
      </c>
      <c r="Z18" s="84"/>
      <c r="AA18" s="37" t="str">
        <f t="shared" si="8"/>
        <v/>
      </c>
      <c r="AB18" s="79"/>
      <c r="AC18" s="84"/>
      <c r="AD18" s="37" t="str">
        <f t="shared" si="9"/>
        <v/>
      </c>
      <c r="AE18" s="79"/>
      <c r="AF18" s="84">
        <v>4</v>
      </c>
      <c r="AG18" s="37" t="str">
        <f t="shared" si="10"/>
        <v/>
      </c>
      <c r="AH18" s="79">
        <v>40</v>
      </c>
      <c r="AI18" s="84">
        <v>3</v>
      </c>
      <c r="AJ18" s="37" t="str">
        <f t="shared" si="11"/>
        <v/>
      </c>
      <c r="AK18" s="79">
        <v>43</v>
      </c>
      <c r="AL18" s="84">
        <v>3</v>
      </c>
      <c r="AM18" s="37" t="str">
        <f t="shared" si="12"/>
        <v/>
      </c>
      <c r="AN18" s="79">
        <v>40</v>
      </c>
      <c r="AO18" s="84"/>
      <c r="AP18" s="37" t="str">
        <f t="shared" si="13"/>
        <v/>
      </c>
      <c r="AQ18" s="79"/>
      <c r="AR18" s="84"/>
      <c r="AS18" s="37" t="str">
        <f t="shared" si="25"/>
        <v/>
      </c>
      <c r="AT18" s="79"/>
      <c r="AU18" s="84"/>
      <c r="AV18" s="37" t="str">
        <f t="shared" si="14"/>
        <v/>
      </c>
      <c r="AW18" s="79"/>
      <c r="AX18" s="84">
        <v>5</v>
      </c>
      <c r="AY18" s="37" t="str">
        <f t="shared" si="15"/>
        <v/>
      </c>
      <c r="AZ18" s="79">
        <v>45</v>
      </c>
      <c r="BA18" s="84">
        <v>4</v>
      </c>
      <c r="BB18" s="37" t="str">
        <f t="shared" si="16"/>
        <v/>
      </c>
      <c r="BC18" s="79">
        <v>36</v>
      </c>
      <c r="BD18" s="84">
        <v>3</v>
      </c>
      <c r="BE18" s="37" t="str">
        <f t="shared" si="17"/>
        <v/>
      </c>
      <c r="BF18" s="79">
        <v>44</v>
      </c>
      <c r="BG18" s="84">
        <v>1</v>
      </c>
      <c r="BH18" s="37" t="str">
        <f t="shared" si="18"/>
        <v/>
      </c>
      <c r="BI18" s="79">
        <v>38</v>
      </c>
      <c r="BJ18" s="84">
        <v>3</v>
      </c>
      <c r="BK18" s="37" t="str">
        <f t="shared" si="19"/>
        <v/>
      </c>
      <c r="BL18" s="79">
        <v>49</v>
      </c>
      <c r="BM18" s="84"/>
      <c r="BN18" s="37" t="str">
        <f t="shared" si="20"/>
        <v/>
      </c>
      <c r="BO18" s="79"/>
      <c r="BP18" s="84">
        <v>5</v>
      </c>
      <c r="BQ18" s="37" t="str">
        <f t="shared" si="21"/>
        <v/>
      </c>
      <c r="BR18" s="79">
        <v>47</v>
      </c>
      <c r="BS18" s="84"/>
      <c r="BT18" s="37" t="str">
        <f t="shared" si="22"/>
        <v/>
      </c>
      <c r="BU18" s="79"/>
      <c r="BV18" s="84"/>
      <c r="BW18" s="37" t="str">
        <f t="shared" si="23"/>
        <v/>
      </c>
      <c r="BX18" s="79"/>
      <c r="BY18" s="84"/>
      <c r="BZ18" s="37" t="str">
        <f t="shared" si="24"/>
        <v/>
      </c>
      <c r="CA18" s="79"/>
    </row>
    <row r="19" spans="1:86" s="35" customFormat="1" ht="15.75" x14ac:dyDescent="0.25">
      <c r="A19" s="81" t="s">
        <v>55</v>
      </c>
      <c r="B19" s="221"/>
      <c r="C19" s="34" t="str">
        <f t="shared" si="0"/>
        <v/>
      </c>
      <c r="D19" s="224"/>
      <c r="E19" s="83">
        <v>5</v>
      </c>
      <c r="F19" s="34" t="str">
        <f t="shared" si="1"/>
        <v>Tote</v>
      </c>
      <c r="G19" s="78">
        <v>51</v>
      </c>
      <c r="H19" s="83">
        <v>7</v>
      </c>
      <c r="I19" s="34" t="str">
        <f t="shared" si="2"/>
        <v/>
      </c>
      <c r="J19" s="78">
        <v>44</v>
      </c>
      <c r="K19" s="83"/>
      <c r="L19" s="34" t="str">
        <f t="shared" si="3"/>
        <v/>
      </c>
      <c r="M19" s="78"/>
      <c r="N19" s="83">
        <v>1</v>
      </c>
      <c r="O19" s="34" t="str">
        <f t="shared" si="4"/>
        <v/>
      </c>
      <c r="P19" s="78">
        <v>44</v>
      </c>
      <c r="Q19" s="83"/>
      <c r="R19" s="34" t="str">
        <f t="shared" si="5"/>
        <v/>
      </c>
      <c r="S19" s="78"/>
      <c r="T19" s="83">
        <v>2</v>
      </c>
      <c r="U19" s="34" t="str">
        <f t="shared" si="6"/>
        <v/>
      </c>
      <c r="V19" s="78">
        <v>39</v>
      </c>
      <c r="W19" s="83">
        <v>4</v>
      </c>
      <c r="X19" s="34" t="str">
        <f t="shared" si="7"/>
        <v/>
      </c>
      <c r="Y19" s="78">
        <v>37</v>
      </c>
      <c r="Z19" s="83"/>
      <c r="AA19" s="34" t="str">
        <f t="shared" si="8"/>
        <v/>
      </c>
      <c r="AB19" s="78"/>
      <c r="AC19" s="83"/>
      <c r="AD19" s="34" t="str">
        <f t="shared" si="9"/>
        <v/>
      </c>
      <c r="AE19" s="78"/>
      <c r="AF19" s="83">
        <v>5</v>
      </c>
      <c r="AG19" s="34" t="str">
        <f t="shared" si="10"/>
        <v/>
      </c>
      <c r="AH19" s="78">
        <v>44</v>
      </c>
      <c r="AI19" s="83">
        <v>6</v>
      </c>
      <c r="AJ19" s="34" t="str">
        <f t="shared" si="11"/>
        <v/>
      </c>
      <c r="AK19" s="78">
        <v>43</v>
      </c>
      <c r="AL19" s="83">
        <v>6</v>
      </c>
      <c r="AM19" s="34" t="str">
        <f t="shared" si="12"/>
        <v/>
      </c>
      <c r="AN19" s="78">
        <v>48</v>
      </c>
      <c r="AO19" s="83"/>
      <c r="AP19" s="34" t="str">
        <f t="shared" si="13"/>
        <v/>
      </c>
      <c r="AQ19" s="78"/>
      <c r="AR19" s="83">
        <v>6</v>
      </c>
      <c r="AS19" s="34" t="str">
        <f t="shared" si="25"/>
        <v/>
      </c>
      <c r="AT19" s="78">
        <v>44</v>
      </c>
      <c r="AU19" s="83">
        <v>5</v>
      </c>
      <c r="AV19" s="34" t="str">
        <f t="shared" si="14"/>
        <v/>
      </c>
      <c r="AW19" s="78">
        <v>37</v>
      </c>
      <c r="AX19" s="83"/>
      <c r="AY19" s="34" t="str">
        <f t="shared" si="15"/>
        <v/>
      </c>
      <c r="AZ19" s="78"/>
      <c r="BA19" s="83"/>
      <c r="BB19" s="34" t="str">
        <f t="shared" si="16"/>
        <v/>
      </c>
      <c r="BC19" s="78"/>
      <c r="BD19" s="83">
        <v>8</v>
      </c>
      <c r="BE19" s="34" t="str">
        <f t="shared" si="17"/>
        <v>Tote</v>
      </c>
      <c r="BF19" s="78">
        <v>53</v>
      </c>
      <c r="BG19" s="83">
        <v>7</v>
      </c>
      <c r="BH19" s="34" t="str">
        <f t="shared" si="18"/>
        <v/>
      </c>
      <c r="BI19" s="78">
        <v>59</v>
      </c>
      <c r="BJ19" s="83">
        <v>2</v>
      </c>
      <c r="BK19" s="34" t="str">
        <f t="shared" si="19"/>
        <v/>
      </c>
      <c r="BL19" s="78">
        <v>44</v>
      </c>
      <c r="BM19" s="83">
        <v>6</v>
      </c>
      <c r="BN19" s="34" t="str">
        <f t="shared" si="20"/>
        <v/>
      </c>
      <c r="BO19" s="78">
        <v>46</v>
      </c>
      <c r="BP19" s="83">
        <v>6</v>
      </c>
      <c r="BQ19" s="34" t="str">
        <f t="shared" si="21"/>
        <v/>
      </c>
      <c r="BR19" s="78">
        <v>44</v>
      </c>
      <c r="BS19" s="83"/>
      <c r="BT19" s="34" t="str">
        <f t="shared" si="22"/>
        <v/>
      </c>
      <c r="BU19" s="78"/>
      <c r="BV19" s="83"/>
      <c r="BW19" s="34" t="str">
        <f t="shared" si="23"/>
        <v/>
      </c>
      <c r="BX19" s="78"/>
      <c r="BY19" s="83"/>
      <c r="BZ19" s="34" t="str">
        <f t="shared" si="24"/>
        <v/>
      </c>
      <c r="CA19" s="78"/>
    </row>
    <row r="20" spans="1:86" s="38" customFormat="1" ht="15.75" x14ac:dyDescent="0.25">
      <c r="A20" s="82" t="s">
        <v>103</v>
      </c>
      <c r="B20" s="220"/>
      <c r="C20" s="37" t="str">
        <f t="shared" si="0"/>
        <v/>
      </c>
      <c r="D20" s="223"/>
      <c r="E20" s="84"/>
      <c r="F20" s="37" t="str">
        <f t="shared" si="1"/>
        <v/>
      </c>
      <c r="G20" s="79"/>
      <c r="H20" s="84">
        <v>4</v>
      </c>
      <c r="I20" s="37" t="str">
        <f t="shared" si="2"/>
        <v/>
      </c>
      <c r="J20" s="79">
        <v>40</v>
      </c>
      <c r="K20" s="84">
        <v>3</v>
      </c>
      <c r="L20" s="37" t="str">
        <f t="shared" si="3"/>
        <v/>
      </c>
      <c r="M20" s="79">
        <v>44</v>
      </c>
      <c r="N20" s="84">
        <v>4</v>
      </c>
      <c r="O20" s="37" t="str">
        <f t="shared" si="4"/>
        <v/>
      </c>
      <c r="P20" s="79">
        <v>54</v>
      </c>
      <c r="Q20" s="84"/>
      <c r="R20" s="37" t="str">
        <f t="shared" si="5"/>
        <v/>
      </c>
      <c r="S20" s="79"/>
      <c r="T20" s="84">
        <v>3</v>
      </c>
      <c r="U20" s="37" t="str">
        <f t="shared" si="6"/>
        <v/>
      </c>
      <c r="V20" s="79">
        <v>43</v>
      </c>
      <c r="W20" s="84">
        <v>2</v>
      </c>
      <c r="X20" s="37" t="str">
        <f t="shared" si="7"/>
        <v/>
      </c>
      <c r="Y20" s="79">
        <v>38</v>
      </c>
      <c r="Z20" s="84"/>
      <c r="AA20" s="37" t="str">
        <f t="shared" si="8"/>
        <v/>
      </c>
      <c r="AB20" s="79"/>
      <c r="AC20" s="84"/>
      <c r="AD20" s="37" t="str">
        <f t="shared" si="9"/>
        <v/>
      </c>
      <c r="AE20" s="79"/>
      <c r="AF20" s="84">
        <v>3</v>
      </c>
      <c r="AG20" s="37" t="str">
        <f t="shared" si="10"/>
        <v/>
      </c>
      <c r="AH20" s="79">
        <v>41</v>
      </c>
      <c r="AI20" s="84">
        <v>1</v>
      </c>
      <c r="AJ20" s="37" t="str">
        <f t="shared" si="11"/>
        <v/>
      </c>
      <c r="AK20" s="79">
        <v>42</v>
      </c>
      <c r="AL20" s="84">
        <v>5</v>
      </c>
      <c r="AM20" s="37" t="str">
        <f t="shared" si="12"/>
        <v>Tote</v>
      </c>
      <c r="AN20" s="79">
        <v>54</v>
      </c>
      <c r="AO20" s="84">
        <v>2</v>
      </c>
      <c r="AP20" s="37" t="str">
        <f t="shared" si="13"/>
        <v/>
      </c>
      <c r="AQ20" s="79">
        <v>42</v>
      </c>
      <c r="AR20" s="84">
        <v>2</v>
      </c>
      <c r="AS20" s="37" t="str">
        <f t="shared" si="25"/>
        <v/>
      </c>
      <c r="AT20" s="79">
        <v>40</v>
      </c>
      <c r="AU20" s="84">
        <v>6</v>
      </c>
      <c r="AV20" s="37" t="str">
        <f t="shared" si="14"/>
        <v/>
      </c>
      <c r="AW20" s="79">
        <v>38</v>
      </c>
      <c r="AX20" s="84">
        <v>6</v>
      </c>
      <c r="AY20" s="37" t="str">
        <f t="shared" si="15"/>
        <v>Tote</v>
      </c>
      <c r="AZ20" s="79">
        <v>59</v>
      </c>
      <c r="BA20" s="84">
        <v>6</v>
      </c>
      <c r="BB20" s="37" t="str">
        <f t="shared" si="16"/>
        <v/>
      </c>
      <c r="BC20" s="79">
        <v>34</v>
      </c>
      <c r="BD20" s="84">
        <v>7</v>
      </c>
      <c r="BE20" s="37" t="str">
        <f t="shared" si="17"/>
        <v/>
      </c>
      <c r="BF20" s="79">
        <v>45</v>
      </c>
      <c r="BG20" s="84">
        <v>3</v>
      </c>
      <c r="BH20" s="37" t="str">
        <f t="shared" si="18"/>
        <v>Tote</v>
      </c>
      <c r="BI20" s="79">
        <v>65</v>
      </c>
      <c r="BJ20" s="84">
        <v>6</v>
      </c>
      <c r="BK20" s="37" t="str">
        <f t="shared" si="19"/>
        <v/>
      </c>
      <c r="BL20" s="79">
        <v>51</v>
      </c>
      <c r="BM20" s="84">
        <v>5</v>
      </c>
      <c r="BN20" s="37" t="str">
        <f t="shared" si="20"/>
        <v/>
      </c>
      <c r="BO20" s="79">
        <v>44</v>
      </c>
      <c r="BP20" s="84">
        <v>3</v>
      </c>
      <c r="BQ20" s="37" t="str">
        <f t="shared" si="21"/>
        <v>Tote</v>
      </c>
      <c r="BR20" s="79">
        <v>57</v>
      </c>
      <c r="BS20" s="84"/>
      <c r="BT20" s="37" t="str">
        <f t="shared" si="22"/>
        <v/>
      </c>
      <c r="BU20" s="79"/>
      <c r="BV20" s="84"/>
      <c r="BW20" s="37" t="str">
        <f t="shared" si="23"/>
        <v/>
      </c>
      <c r="BX20" s="79"/>
      <c r="BY20" s="84"/>
      <c r="BZ20" s="37" t="str">
        <f t="shared" si="24"/>
        <v/>
      </c>
      <c r="CA20" s="79"/>
      <c r="CB20" s="111"/>
      <c r="CC20" s="111"/>
      <c r="CD20" s="111"/>
      <c r="CE20" s="111"/>
      <c r="CF20" s="111"/>
      <c r="CG20" s="111"/>
      <c r="CH20" s="111"/>
    </row>
    <row r="21" spans="1:86" s="35" customFormat="1" ht="15.75" x14ac:dyDescent="0.25">
      <c r="A21" s="81" t="s">
        <v>85</v>
      </c>
      <c r="B21" s="221"/>
      <c r="C21" s="34" t="str">
        <f t="shared" si="0"/>
        <v/>
      </c>
      <c r="D21" s="224"/>
      <c r="E21" s="83"/>
      <c r="F21" s="34" t="str">
        <f t="shared" si="1"/>
        <v/>
      </c>
      <c r="G21" s="78"/>
      <c r="H21" s="83"/>
      <c r="I21" s="34" t="str">
        <f t="shared" si="2"/>
        <v/>
      </c>
      <c r="J21" s="78"/>
      <c r="K21" s="83"/>
      <c r="L21" s="34" t="str">
        <f t="shared" si="3"/>
        <v/>
      </c>
      <c r="M21" s="78"/>
      <c r="N21" s="83"/>
      <c r="O21" s="34" t="str">
        <f t="shared" si="4"/>
        <v/>
      </c>
      <c r="P21" s="78"/>
      <c r="Q21" s="83"/>
      <c r="R21" s="34" t="str">
        <f t="shared" si="5"/>
        <v/>
      </c>
      <c r="S21" s="78"/>
      <c r="T21" s="83"/>
      <c r="U21" s="34" t="str">
        <f t="shared" si="6"/>
        <v/>
      </c>
      <c r="V21" s="78"/>
      <c r="W21" s="83"/>
      <c r="X21" s="34" t="str">
        <f t="shared" si="7"/>
        <v/>
      </c>
      <c r="Y21" s="78"/>
      <c r="Z21" s="83"/>
      <c r="AA21" s="34" t="str">
        <f t="shared" si="8"/>
        <v/>
      </c>
      <c r="AB21" s="78"/>
      <c r="AC21" s="83"/>
      <c r="AD21" s="34" t="str">
        <f t="shared" si="9"/>
        <v/>
      </c>
      <c r="AE21" s="78"/>
      <c r="AF21" s="83"/>
      <c r="AG21" s="34" t="str">
        <f t="shared" si="10"/>
        <v/>
      </c>
      <c r="AH21" s="78"/>
      <c r="AI21" s="83">
        <v>5</v>
      </c>
      <c r="AJ21" s="34" t="str">
        <f t="shared" si="11"/>
        <v/>
      </c>
      <c r="AK21" s="78">
        <v>44</v>
      </c>
      <c r="AL21" s="83"/>
      <c r="AM21" s="34" t="str">
        <f t="shared" si="12"/>
        <v/>
      </c>
      <c r="AN21" s="78"/>
      <c r="AO21" s="83"/>
      <c r="AP21" s="34" t="str">
        <f t="shared" si="13"/>
        <v/>
      </c>
      <c r="AQ21" s="78"/>
      <c r="AR21" s="83">
        <v>4</v>
      </c>
      <c r="AS21" s="34" t="str">
        <f t="shared" si="25"/>
        <v/>
      </c>
      <c r="AT21" s="78">
        <v>52</v>
      </c>
      <c r="AU21" s="83">
        <v>7</v>
      </c>
      <c r="AV21" s="34" t="str">
        <f t="shared" si="14"/>
        <v/>
      </c>
      <c r="AW21" s="78">
        <v>34</v>
      </c>
      <c r="AX21" s="83"/>
      <c r="AY21" s="34" t="str">
        <f t="shared" si="15"/>
        <v/>
      </c>
      <c r="AZ21" s="78"/>
      <c r="BA21" s="83"/>
      <c r="BB21" s="34" t="str">
        <f t="shared" si="16"/>
        <v/>
      </c>
      <c r="BC21" s="78"/>
      <c r="BD21" s="83">
        <v>4</v>
      </c>
      <c r="BE21" s="34" t="str">
        <f t="shared" si="17"/>
        <v/>
      </c>
      <c r="BF21" s="78">
        <v>44</v>
      </c>
      <c r="BG21" s="83"/>
      <c r="BH21" s="34" t="str">
        <f t="shared" si="18"/>
        <v/>
      </c>
      <c r="BI21" s="78"/>
      <c r="BJ21" s="83"/>
      <c r="BK21" s="34" t="str">
        <f t="shared" si="19"/>
        <v/>
      </c>
      <c r="BL21" s="78"/>
      <c r="BM21" s="83"/>
      <c r="BN21" s="34" t="str">
        <f t="shared" si="20"/>
        <v/>
      </c>
      <c r="BO21" s="78"/>
      <c r="BP21" s="83"/>
      <c r="BQ21" s="34" t="str">
        <f t="shared" si="21"/>
        <v/>
      </c>
      <c r="BR21" s="78"/>
      <c r="BS21" s="83"/>
      <c r="BT21" s="34" t="str">
        <f t="shared" si="22"/>
        <v/>
      </c>
      <c r="BU21" s="78"/>
      <c r="BV21" s="83"/>
      <c r="BW21" s="34" t="str">
        <f t="shared" si="23"/>
        <v/>
      </c>
      <c r="BX21" s="78"/>
      <c r="BY21" s="83"/>
      <c r="BZ21" s="34" t="str">
        <f t="shared" si="24"/>
        <v/>
      </c>
      <c r="CA21" s="78"/>
      <c r="CB21" s="112"/>
      <c r="CC21" s="112"/>
      <c r="CD21" s="112"/>
      <c r="CE21" s="112"/>
      <c r="CF21" s="112"/>
      <c r="CG21" s="112"/>
      <c r="CH21" s="112"/>
    </row>
    <row r="22" spans="1:86" s="38" customFormat="1" ht="15.75" x14ac:dyDescent="0.25">
      <c r="A22" s="82" t="s">
        <v>86</v>
      </c>
      <c r="B22" s="220"/>
      <c r="C22" s="37" t="str">
        <f t="shared" si="0"/>
        <v/>
      </c>
      <c r="D22" s="223"/>
      <c r="E22" s="84"/>
      <c r="F22" s="37" t="str">
        <f t="shared" si="1"/>
        <v/>
      </c>
      <c r="G22" s="79"/>
      <c r="H22" s="84"/>
      <c r="I22" s="37" t="str">
        <f t="shared" si="2"/>
        <v/>
      </c>
      <c r="J22" s="79"/>
      <c r="K22" s="84"/>
      <c r="L22" s="37" t="str">
        <f t="shared" si="3"/>
        <v/>
      </c>
      <c r="M22" s="79"/>
      <c r="N22" s="84"/>
      <c r="O22" s="37" t="str">
        <f t="shared" si="4"/>
        <v/>
      </c>
      <c r="P22" s="79"/>
      <c r="Q22" s="84"/>
      <c r="R22" s="37" t="str">
        <f t="shared" si="5"/>
        <v/>
      </c>
      <c r="S22" s="79"/>
      <c r="T22" s="84"/>
      <c r="U22" s="37" t="str">
        <f t="shared" si="6"/>
        <v/>
      </c>
      <c r="V22" s="79"/>
      <c r="W22" s="84"/>
      <c r="X22" s="37" t="str">
        <f t="shared" si="7"/>
        <v/>
      </c>
      <c r="Y22" s="79"/>
      <c r="Z22" s="84"/>
      <c r="AA22" s="37" t="str">
        <f t="shared" si="8"/>
        <v/>
      </c>
      <c r="AB22" s="79"/>
      <c r="AC22" s="84"/>
      <c r="AD22" s="37" t="str">
        <f t="shared" si="9"/>
        <v/>
      </c>
      <c r="AE22" s="79"/>
      <c r="AF22" s="84"/>
      <c r="AG22" s="37" t="str">
        <f t="shared" si="10"/>
        <v/>
      </c>
      <c r="AH22" s="79"/>
      <c r="AI22" s="84"/>
      <c r="AJ22" s="37" t="str">
        <f t="shared" si="11"/>
        <v/>
      </c>
      <c r="AK22" s="79"/>
      <c r="AL22" s="84"/>
      <c r="AM22" s="37" t="str">
        <f t="shared" si="12"/>
        <v/>
      </c>
      <c r="AN22" s="79"/>
      <c r="AO22" s="84">
        <v>4</v>
      </c>
      <c r="AP22" s="37" t="str">
        <f t="shared" si="13"/>
        <v/>
      </c>
      <c r="AQ22" s="79">
        <v>49</v>
      </c>
      <c r="AR22" s="84"/>
      <c r="AS22" s="37" t="str">
        <f t="shared" si="25"/>
        <v/>
      </c>
      <c r="AT22" s="79"/>
      <c r="AU22" s="84"/>
      <c r="AV22" s="37" t="str">
        <f t="shared" si="14"/>
        <v/>
      </c>
      <c r="AW22" s="79"/>
      <c r="AX22" s="84">
        <v>3</v>
      </c>
      <c r="AY22" s="37" t="str">
        <f t="shared" si="15"/>
        <v/>
      </c>
      <c r="AZ22" s="79">
        <v>43</v>
      </c>
      <c r="BA22" s="84"/>
      <c r="BB22" s="37" t="str">
        <f t="shared" si="16"/>
        <v/>
      </c>
      <c r="BC22" s="79"/>
      <c r="BD22" s="84"/>
      <c r="BE22" s="37" t="str">
        <f t="shared" si="17"/>
        <v/>
      </c>
      <c r="BF22" s="79"/>
      <c r="BG22" s="84"/>
      <c r="BH22" s="37" t="str">
        <f t="shared" si="18"/>
        <v/>
      </c>
      <c r="BI22" s="79"/>
      <c r="BJ22" s="84"/>
      <c r="BK22" s="37" t="str">
        <f t="shared" si="19"/>
        <v/>
      </c>
      <c r="BL22" s="79"/>
      <c r="BM22" s="84"/>
      <c r="BN22" s="37" t="str">
        <f t="shared" si="20"/>
        <v/>
      </c>
      <c r="BO22" s="79"/>
      <c r="BP22" s="84"/>
      <c r="BQ22" s="37" t="str">
        <f t="shared" si="21"/>
        <v/>
      </c>
      <c r="BR22" s="79"/>
      <c r="BS22" s="84"/>
      <c r="BT22" s="37" t="str">
        <f t="shared" si="22"/>
        <v/>
      </c>
      <c r="BU22" s="79"/>
      <c r="BV22" s="84"/>
      <c r="BW22" s="37" t="str">
        <f t="shared" si="23"/>
        <v/>
      </c>
      <c r="BX22" s="79"/>
      <c r="BY22" s="84"/>
      <c r="BZ22" s="37" t="str">
        <f t="shared" si="24"/>
        <v/>
      </c>
      <c r="CA22" s="79"/>
      <c r="CB22" s="111"/>
      <c r="CC22" s="111"/>
      <c r="CD22" s="111"/>
      <c r="CE22" s="111"/>
      <c r="CF22" s="111"/>
      <c r="CG22" s="111"/>
      <c r="CH22" s="111"/>
    </row>
    <row r="23" spans="1:86" s="35" customFormat="1" ht="15.75" x14ac:dyDescent="0.25">
      <c r="A23" s="81" t="s">
        <v>83</v>
      </c>
      <c r="B23" s="221"/>
      <c r="C23" s="34"/>
      <c r="D23" s="224"/>
      <c r="E23" s="83"/>
      <c r="F23" s="34"/>
      <c r="G23" s="78"/>
      <c r="H23" s="83"/>
      <c r="I23" s="34"/>
      <c r="J23" s="78"/>
      <c r="K23" s="83"/>
      <c r="L23" s="34"/>
      <c r="M23" s="78"/>
      <c r="N23" s="83"/>
      <c r="O23" s="34"/>
      <c r="P23" s="78"/>
      <c r="Q23" s="83"/>
      <c r="R23" s="34"/>
      <c r="S23" s="78"/>
      <c r="T23" s="83"/>
      <c r="U23" s="34"/>
      <c r="V23" s="78"/>
      <c r="W23" s="83"/>
      <c r="X23" s="34"/>
      <c r="Y23" s="78"/>
      <c r="Z23" s="83"/>
      <c r="AA23" s="34"/>
      <c r="AB23" s="78"/>
      <c r="AC23" s="83"/>
      <c r="AD23" s="34"/>
      <c r="AE23" s="78"/>
      <c r="AF23" s="83"/>
      <c r="AG23" s="34"/>
      <c r="AH23" s="78"/>
      <c r="AI23" s="83"/>
      <c r="AJ23" s="34"/>
      <c r="AK23" s="78"/>
      <c r="AL23" s="83"/>
      <c r="AM23" s="34"/>
      <c r="AN23" s="78"/>
      <c r="AO23" s="83">
        <v>5</v>
      </c>
      <c r="AP23" s="34" t="str">
        <f t="shared" si="13"/>
        <v/>
      </c>
      <c r="AQ23" s="78">
        <v>39</v>
      </c>
      <c r="AR23" s="83"/>
      <c r="AS23" s="34"/>
      <c r="AT23" s="78"/>
      <c r="AU23" s="83"/>
      <c r="AV23" s="34"/>
      <c r="AW23" s="78"/>
      <c r="AX23" s="83"/>
      <c r="AY23" s="34"/>
      <c r="AZ23" s="78"/>
      <c r="BA23" s="83"/>
      <c r="BB23" s="34"/>
      <c r="BC23" s="78"/>
      <c r="BD23" s="83"/>
      <c r="BE23" s="34"/>
      <c r="BF23" s="78"/>
      <c r="BG23" s="83"/>
      <c r="BH23" s="34"/>
      <c r="BI23" s="78"/>
      <c r="BJ23" s="83"/>
      <c r="BK23" s="34"/>
      <c r="BL23" s="78"/>
      <c r="BM23" s="83"/>
      <c r="BN23" s="34"/>
      <c r="BO23" s="78"/>
      <c r="BP23" s="83"/>
      <c r="BQ23" s="34"/>
      <c r="BR23" s="78"/>
      <c r="BS23" s="83"/>
      <c r="BT23" s="34"/>
      <c r="BU23" s="78"/>
      <c r="BV23" s="83"/>
      <c r="BW23" s="34"/>
      <c r="BX23" s="78"/>
      <c r="BY23" s="83"/>
      <c r="BZ23" s="34"/>
      <c r="CA23" s="78"/>
      <c r="CB23" s="112"/>
      <c r="CC23" s="112"/>
      <c r="CD23" s="112"/>
      <c r="CE23" s="112"/>
      <c r="CF23" s="112"/>
      <c r="CG23" s="112"/>
      <c r="CH23" s="112"/>
    </row>
    <row r="24" spans="1:86" s="38" customFormat="1" ht="15.75" x14ac:dyDescent="0.25">
      <c r="A24" s="82" t="s">
        <v>84</v>
      </c>
      <c r="B24" s="220"/>
      <c r="C24" s="37"/>
      <c r="D24" s="223"/>
      <c r="E24" s="84"/>
      <c r="F24" s="37"/>
      <c r="G24" s="79"/>
      <c r="H24" s="84"/>
      <c r="I24" s="37"/>
      <c r="J24" s="79"/>
      <c r="K24" s="84"/>
      <c r="L24" s="37"/>
      <c r="M24" s="79"/>
      <c r="N24" s="84"/>
      <c r="O24" s="37"/>
      <c r="P24" s="79"/>
      <c r="Q24" s="84"/>
      <c r="R24" s="37"/>
      <c r="S24" s="79"/>
      <c r="T24" s="84"/>
      <c r="U24" s="37"/>
      <c r="V24" s="79"/>
      <c r="W24" s="84"/>
      <c r="X24" s="37"/>
      <c r="Y24" s="79"/>
      <c r="Z24" s="84"/>
      <c r="AA24" s="37"/>
      <c r="AB24" s="79"/>
      <c r="AC24" s="84"/>
      <c r="AD24" s="37"/>
      <c r="AE24" s="79"/>
      <c r="AF24" s="84"/>
      <c r="AG24" s="37"/>
      <c r="AH24" s="79"/>
      <c r="AI24" s="84"/>
      <c r="AJ24" s="37"/>
      <c r="AK24" s="79"/>
      <c r="AL24" s="84"/>
      <c r="AM24" s="37"/>
      <c r="AN24" s="79"/>
      <c r="AO24" s="84">
        <v>3</v>
      </c>
      <c r="AP24" s="37" t="str">
        <f t="shared" si="13"/>
        <v/>
      </c>
      <c r="AQ24" s="79">
        <v>40</v>
      </c>
      <c r="AR24" s="84"/>
      <c r="AS24" s="37"/>
      <c r="AT24" s="79"/>
      <c r="AU24" s="84"/>
      <c r="AV24" s="37"/>
      <c r="AW24" s="79"/>
      <c r="AX24" s="84">
        <v>4</v>
      </c>
      <c r="AY24" s="37"/>
      <c r="AZ24" s="79">
        <v>44</v>
      </c>
      <c r="BA24" s="84"/>
      <c r="BB24" s="37"/>
      <c r="BC24" s="79"/>
      <c r="BD24" s="84"/>
      <c r="BE24" s="37"/>
      <c r="BF24" s="79"/>
      <c r="BG24" s="84"/>
      <c r="BH24" s="37"/>
      <c r="BI24" s="79"/>
      <c r="BJ24" s="84"/>
      <c r="BK24" s="37"/>
      <c r="BL24" s="79"/>
      <c r="BM24" s="84"/>
      <c r="BN24" s="37"/>
      <c r="BO24" s="79"/>
      <c r="BP24" s="84"/>
      <c r="BQ24" s="37"/>
      <c r="BR24" s="79"/>
      <c r="BS24" s="84"/>
      <c r="BT24" s="37"/>
      <c r="BU24" s="79"/>
      <c r="BV24" s="84"/>
      <c r="BW24" s="37"/>
      <c r="BX24" s="79"/>
      <c r="BY24" s="84"/>
      <c r="BZ24" s="37"/>
      <c r="CA24" s="79"/>
      <c r="CB24" s="111"/>
      <c r="CC24" s="111"/>
      <c r="CD24" s="111"/>
      <c r="CE24" s="111"/>
      <c r="CF24" s="111"/>
      <c r="CG24" s="111"/>
      <c r="CH24" s="111"/>
    </row>
    <row r="25" spans="1:86" s="35" customFormat="1" ht="15.75" x14ac:dyDescent="0.25">
      <c r="A25" s="81" t="s">
        <v>108</v>
      </c>
      <c r="B25" s="221"/>
      <c r="C25" s="34" t="str">
        <f>IF(AND((D25=MAX(D$11:D$25)),(D$28&lt;&gt;0)),"Tote","")</f>
        <v/>
      </c>
      <c r="D25" s="224"/>
      <c r="E25" s="83"/>
      <c r="F25" s="34" t="str">
        <f>IF(AND((G25=MAX(G$11:G$25)),(G$28&lt;&gt;0)),"Tote","")</f>
        <v/>
      </c>
      <c r="G25" s="78"/>
      <c r="H25" s="83"/>
      <c r="I25" s="34" t="str">
        <f>IF(AND((J25=MAX(J$11:J$25)),(J$28&lt;&gt;0)),"Tote","")</f>
        <v/>
      </c>
      <c r="J25" s="78"/>
      <c r="K25" s="83"/>
      <c r="L25" s="34" t="str">
        <f>IF(AND((M25=MAX(M$11:M$25)),(M$28&lt;&gt;0)),"Tote","")</f>
        <v/>
      </c>
      <c r="M25" s="78"/>
      <c r="N25" s="83"/>
      <c r="O25" s="34" t="str">
        <f>IF(AND((P25=MAX(P$11:P$25)),(P$28&lt;&gt;0)),"Tote","")</f>
        <v/>
      </c>
      <c r="P25" s="78"/>
      <c r="Q25" s="83"/>
      <c r="R25" s="34" t="str">
        <f>IF(AND((S25=MAX(S$11:S$25)),(S$28&lt;&gt;0)),"Tote","")</f>
        <v/>
      </c>
      <c r="S25" s="78"/>
      <c r="T25" s="83"/>
      <c r="U25" s="34" t="str">
        <f>IF(AND((V25=MAX(V$11:V$25)),(V$28&lt;&gt;0)),"Tote","")</f>
        <v/>
      </c>
      <c r="V25" s="78"/>
      <c r="W25" s="83"/>
      <c r="X25" s="34" t="str">
        <f>IF(AND((Y25=MAX(Y$11:Y$25)),(Y$28&lt;&gt;0)),"Tote","")</f>
        <v/>
      </c>
      <c r="Y25" s="78"/>
      <c r="Z25" s="83"/>
      <c r="AA25" s="34" t="str">
        <f>IF(AND((AB25=MAX(AB$11:AB$25)),(AB$28&lt;&gt;0)),"Tote","")</f>
        <v/>
      </c>
      <c r="AB25" s="78"/>
      <c r="AC25" s="83"/>
      <c r="AD25" s="34" t="str">
        <f>IF(AND((AE25=MAX(AE$11:AE$25)),(AE$28&lt;&gt;0)),"Tote","")</f>
        <v/>
      </c>
      <c r="AE25" s="78"/>
      <c r="AF25" s="83"/>
      <c r="AG25" s="34" t="str">
        <f>IF(AND((AH25=MAX(AH$11:AH$25)),(AH$28&lt;&gt;0)),"Tote","")</f>
        <v/>
      </c>
      <c r="AH25" s="78"/>
      <c r="AI25" s="83"/>
      <c r="AJ25" s="34" t="str">
        <f>IF(AND((AK25=MAX(AK$11:AK$25)),(AK$28&lt;&gt;0)),"Tote","")</f>
        <v/>
      </c>
      <c r="AK25" s="78"/>
      <c r="AL25" s="83"/>
      <c r="AM25" s="34" t="str">
        <f>IF(AND((AN25=MAX(AN$11:AN$25)),(AN$28&lt;&gt;0)),"Tote","")</f>
        <v/>
      </c>
      <c r="AN25" s="78"/>
      <c r="AO25" s="83"/>
      <c r="AP25" s="34" t="str">
        <f t="shared" si="13"/>
        <v/>
      </c>
      <c r="AQ25" s="78"/>
      <c r="AR25" s="83"/>
      <c r="AS25" s="34" t="str">
        <f>IF(AND((AT25=MAX(AT$11:AT$25)),(AT$28&lt;&gt;0)),"Tote","")</f>
        <v/>
      </c>
      <c r="AT25" s="78"/>
      <c r="AU25" s="83"/>
      <c r="AV25" s="34" t="str">
        <f>IF(AND((AW25=MAX(AW$11:AW$25)),(AW$28&lt;&gt;0)),"Tote","")</f>
        <v/>
      </c>
      <c r="AW25" s="78"/>
      <c r="AX25" s="83">
        <v>7</v>
      </c>
      <c r="AY25" s="347" t="s">
        <v>109</v>
      </c>
      <c r="AZ25" s="78">
        <v>58</v>
      </c>
      <c r="BA25" s="83"/>
      <c r="BB25" s="34" t="str">
        <f>IF(AND((BC25=MAX(BC$11:BC$25)),(BC$28&lt;&gt;0)),"Tote","")</f>
        <v/>
      </c>
      <c r="BC25" s="78"/>
      <c r="BD25" s="83"/>
      <c r="BE25" s="34" t="str">
        <f>IF(AND((BF25=MAX(BF$11:BF$25)),(BF$28&lt;&gt;0)),"Tote","")</f>
        <v/>
      </c>
      <c r="BF25" s="78"/>
      <c r="BG25" s="83"/>
      <c r="BH25" s="34" t="str">
        <f>IF(AND((BI25=MAX(BI$11:BI$25)),(BI$28&lt;&gt;0)),"Tote","")</f>
        <v/>
      </c>
      <c r="BI25" s="78"/>
      <c r="BJ25" s="83"/>
      <c r="BK25" s="34" t="str">
        <f>IF(AND((BL25=MAX(BL$11:BL$25)),(BL$28&lt;&gt;0)),"Tote","")</f>
        <v/>
      </c>
      <c r="BL25" s="78"/>
      <c r="BM25" s="83">
        <v>3</v>
      </c>
      <c r="BN25" s="34" t="s">
        <v>107</v>
      </c>
      <c r="BO25" s="78">
        <v>57</v>
      </c>
      <c r="BP25" s="83"/>
      <c r="BQ25" s="34" t="str">
        <f>IF(AND((BR25=MAX(BR$11:BR$25)),(BR$28&lt;&gt;0)),"Tote","")</f>
        <v/>
      </c>
      <c r="BR25" s="78"/>
      <c r="BS25" s="83"/>
      <c r="BT25" s="34" t="str">
        <f>IF(AND((BU25=MAX(BU$11:BU$25)),(BU$28&lt;&gt;0)),"Tote","")</f>
        <v/>
      </c>
      <c r="BU25" s="78"/>
      <c r="BV25" s="83"/>
      <c r="BW25" s="34" t="str">
        <f>IF(AND((BX25=MAX(BX$11:BX$25)),(BX$28&lt;&gt;0)),"Tote","")</f>
        <v/>
      </c>
      <c r="BX25" s="78"/>
      <c r="BY25" s="83"/>
      <c r="BZ25" s="34" t="str">
        <f>IF(AND((CA25=MAX(CA$11:CA$25)),(CA$28&lt;&gt;0)),"Tote","")</f>
        <v/>
      </c>
      <c r="CA25" s="78"/>
      <c r="CB25" s="112"/>
      <c r="CC25" s="112"/>
      <c r="CD25" s="112"/>
      <c r="CE25" s="112"/>
      <c r="CF25" s="112"/>
      <c r="CG25" s="112"/>
      <c r="CH25" s="112"/>
    </row>
    <row r="26" spans="1:86" s="38" customFormat="1" ht="15.75" x14ac:dyDescent="0.25">
      <c r="A26" s="75" t="s">
        <v>27</v>
      </c>
      <c r="B26" s="220"/>
      <c r="C26" s="37"/>
      <c r="D26" s="223"/>
      <c r="E26" s="84">
        <v>8</v>
      </c>
      <c r="F26" s="37"/>
      <c r="G26" s="79">
        <v>44</v>
      </c>
      <c r="H26" s="84"/>
      <c r="I26" s="37"/>
      <c r="J26" s="79"/>
      <c r="K26" s="84"/>
      <c r="L26" s="37"/>
      <c r="M26" s="79"/>
      <c r="N26" s="84"/>
      <c r="O26" s="37"/>
      <c r="P26" s="79"/>
      <c r="Q26" s="84"/>
      <c r="R26" s="37"/>
      <c r="S26" s="79"/>
      <c r="T26" s="84"/>
      <c r="U26" s="37"/>
      <c r="V26" s="79"/>
      <c r="W26" s="84"/>
      <c r="X26" s="37"/>
      <c r="Y26" s="79"/>
      <c r="Z26" s="84"/>
      <c r="AA26" s="37"/>
      <c r="AB26" s="79"/>
      <c r="AC26" s="84"/>
      <c r="AD26" s="37"/>
      <c r="AE26" s="79"/>
      <c r="AF26" s="84">
        <v>8</v>
      </c>
      <c r="AG26" s="37"/>
      <c r="AH26" s="79">
        <v>40</v>
      </c>
      <c r="AI26" s="84">
        <v>9</v>
      </c>
      <c r="AJ26" s="37"/>
      <c r="AK26" s="79">
        <v>49</v>
      </c>
      <c r="AL26" s="84"/>
      <c r="AM26" s="37"/>
      <c r="AN26" s="79"/>
      <c r="AO26" s="84">
        <v>8</v>
      </c>
      <c r="AP26" s="37"/>
      <c r="AQ26" s="79">
        <v>53</v>
      </c>
      <c r="AR26" s="84">
        <v>9</v>
      </c>
      <c r="AS26" s="37"/>
      <c r="AT26" s="79">
        <v>40</v>
      </c>
      <c r="AU26" s="84">
        <v>9</v>
      </c>
      <c r="AV26" s="37"/>
      <c r="AW26" s="79">
        <v>41</v>
      </c>
      <c r="AX26" s="84">
        <v>9</v>
      </c>
      <c r="AY26" s="37"/>
      <c r="AZ26" s="79">
        <v>44</v>
      </c>
      <c r="BA26" s="84"/>
      <c r="BB26" s="37"/>
      <c r="BC26" s="79"/>
      <c r="BD26" s="84"/>
      <c r="BE26" s="37"/>
      <c r="BF26" s="79"/>
      <c r="BG26" s="84"/>
      <c r="BH26" s="37"/>
      <c r="BI26" s="79"/>
      <c r="BJ26" s="84">
        <v>8</v>
      </c>
      <c r="BK26" s="37"/>
      <c r="BL26" s="79">
        <v>41</v>
      </c>
      <c r="BM26" s="84">
        <v>8</v>
      </c>
      <c r="BN26" s="37"/>
      <c r="BO26" s="79">
        <v>46</v>
      </c>
      <c r="BP26" s="84"/>
      <c r="BQ26" s="37"/>
      <c r="BR26" s="79"/>
      <c r="BS26" s="84"/>
      <c r="BT26" s="37"/>
      <c r="BU26" s="79"/>
      <c r="BV26" s="84"/>
      <c r="BW26" s="37"/>
      <c r="BX26" s="79"/>
      <c r="BY26" s="84"/>
      <c r="BZ26" s="37"/>
      <c r="CA26" s="79"/>
      <c r="CB26" s="111"/>
      <c r="CC26" s="111"/>
      <c r="CD26" s="111"/>
      <c r="CE26" s="111"/>
      <c r="CF26" s="111"/>
      <c r="CG26" s="111"/>
      <c r="CH26" s="111"/>
    </row>
    <row r="27" spans="1:86" s="35" customFormat="1" ht="15.75" x14ac:dyDescent="0.25">
      <c r="A27" s="76" t="s">
        <v>28</v>
      </c>
      <c r="B27" s="77"/>
      <c r="C27" s="36"/>
      <c r="D27" s="80"/>
      <c r="E27" s="77"/>
      <c r="F27" s="36"/>
      <c r="G27" s="80"/>
      <c r="H27" s="77"/>
      <c r="I27" s="36"/>
      <c r="J27" s="80"/>
      <c r="K27" s="77"/>
      <c r="L27" s="36"/>
      <c r="M27" s="80"/>
      <c r="N27" s="77"/>
      <c r="O27" s="36"/>
      <c r="P27" s="80"/>
      <c r="Q27" s="77"/>
      <c r="R27" s="36"/>
      <c r="S27" s="80"/>
      <c r="T27" s="77"/>
      <c r="U27" s="36"/>
      <c r="V27" s="80"/>
      <c r="W27" s="77"/>
      <c r="X27" s="36"/>
      <c r="Y27" s="80"/>
      <c r="Z27" s="77"/>
      <c r="AA27" s="36"/>
      <c r="AB27" s="80"/>
      <c r="AC27" s="77"/>
      <c r="AD27" s="36"/>
      <c r="AE27" s="80"/>
      <c r="AF27" s="77"/>
      <c r="AG27" s="36"/>
      <c r="AH27" s="80"/>
      <c r="AI27" s="77"/>
      <c r="AJ27" s="36"/>
      <c r="AK27" s="80"/>
      <c r="AL27" s="77"/>
      <c r="AM27" s="36"/>
      <c r="AN27" s="80"/>
      <c r="AO27" s="77"/>
      <c r="AP27" s="36"/>
      <c r="AQ27" s="80"/>
      <c r="AR27" s="77"/>
      <c r="AS27" s="36"/>
      <c r="AT27" s="80"/>
      <c r="AU27" s="77"/>
      <c r="AV27" s="36"/>
      <c r="AW27" s="80"/>
      <c r="AX27" s="77"/>
      <c r="AY27" s="36"/>
      <c r="AZ27" s="80"/>
      <c r="BA27" s="77"/>
      <c r="BB27" s="36"/>
      <c r="BC27" s="80"/>
      <c r="BD27" s="77"/>
      <c r="BE27" s="36"/>
      <c r="BF27" s="80"/>
      <c r="BG27" s="77"/>
      <c r="BH27" s="36"/>
      <c r="BI27" s="80"/>
      <c r="BJ27" s="77"/>
      <c r="BK27" s="36"/>
      <c r="BL27" s="80"/>
      <c r="BM27" s="77"/>
      <c r="BN27" s="36"/>
      <c r="BO27" s="80"/>
      <c r="BP27" s="77"/>
      <c r="BQ27" s="36"/>
      <c r="BR27" s="80"/>
      <c r="BS27" s="77"/>
      <c r="BT27" s="36"/>
      <c r="BU27" s="80"/>
      <c r="BV27" s="77"/>
      <c r="BW27" s="36"/>
      <c r="BX27" s="80"/>
      <c r="BY27" s="77"/>
      <c r="BZ27" s="36"/>
      <c r="CA27" s="80"/>
    </row>
    <row r="28" spans="1:86" s="44" customFormat="1" ht="16.5" thickBot="1" x14ac:dyDescent="0.3">
      <c r="A28" s="40" t="s">
        <v>4</v>
      </c>
      <c r="B28" s="86">
        <f>COUNT(B11:B27)</f>
        <v>7</v>
      </c>
      <c r="C28" s="335">
        <f>+D28/B28</f>
        <v>46.142857142857146</v>
      </c>
      <c r="D28" s="40">
        <f>SUM(D11:D27)</f>
        <v>323</v>
      </c>
      <c r="E28" s="86">
        <f>COUNT(E11:E27)</f>
        <v>8</v>
      </c>
      <c r="F28" s="335">
        <f>+G28/E28</f>
        <v>41.75</v>
      </c>
      <c r="G28" s="40">
        <f>SUM(G11:G27)</f>
        <v>334</v>
      </c>
      <c r="H28" s="86">
        <f>COUNT(H11:H27)</f>
        <v>9</v>
      </c>
      <c r="I28" s="335">
        <f>+J28/H28</f>
        <v>42.555555555555557</v>
      </c>
      <c r="J28" s="40">
        <f>SUM(J11:J27)</f>
        <v>383</v>
      </c>
      <c r="K28" s="86">
        <f>COUNT(K11:K27)</f>
        <v>7</v>
      </c>
      <c r="L28" s="335">
        <f>+M28/K28</f>
        <v>50.285714285714285</v>
      </c>
      <c r="M28" s="40">
        <f>SUM(M11:M27)</f>
        <v>352</v>
      </c>
      <c r="N28" s="86">
        <f>COUNT(N11:N27)</f>
        <v>7</v>
      </c>
      <c r="O28" s="335">
        <f>+P28/N28</f>
        <v>48.285714285714285</v>
      </c>
      <c r="P28" s="40">
        <f>SUM(P11:P27)</f>
        <v>338</v>
      </c>
      <c r="Q28" s="86">
        <f>COUNT(Q11:Q27)</f>
        <v>0</v>
      </c>
      <c r="R28" s="335"/>
      <c r="S28" s="40">
        <f>SUM(S11:S27)</f>
        <v>0</v>
      </c>
      <c r="T28" s="86">
        <f>COUNT(T11:T27)</f>
        <v>8</v>
      </c>
      <c r="U28" s="335">
        <f>+V28/T28</f>
        <v>45.375</v>
      </c>
      <c r="V28" s="40">
        <f>SUM(V11:V27)</f>
        <v>363</v>
      </c>
      <c r="W28" s="86">
        <f>COUNT(W11:W27)</f>
        <v>8</v>
      </c>
      <c r="X28" s="335">
        <f>+Y28/W28</f>
        <v>41.5</v>
      </c>
      <c r="Y28" s="40">
        <f>SUM(Y11:Y27)</f>
        <v>332</v>
      </c>
      <c r="Z28" s="86">
        <f>COUNT(Z11:Z27)</f>
        <v>0</v>
      </c>
      <c r="AA28" s="41"/>
      <c r="AB28" s="40">
        <f>SUM(AB11:AB27)</f>
        <v>0</v>
      </c>
      <c r="AC28" s="86">
        <f>COUNT(AC11:AC27)</f>
        <v>0</v>
      </c>
      <c r="AD28" s="41"/>
      <c r="AE28" s="40">
        <f>SUM(AE11:AE27)</f>
        <v>0</v>
      </c>
      <c r="AF28" s="86">
        <f>COUNT(AF11:AF27)</f>
        <v>8</v>
      </c>
      <c r="AG28" s="335">
        <f>+AH28/AF28</f>
        <v>46.75</v>
      </c>
      <c r="AH28" s="40">
        <f>SUM(AH11:AH27)</f>
        <v>374</v>
      </c>
      <c r="AI28" s="86">
        <f>COUNT(AI11:AI27)</f>
        <v>9</v>
      </c>
      <c r="AJ28" s="335">
        <f>+AK28/AI28</f>
        <v>44</v>
      </c>
      <c r="AK28" s="40">
        <f>SUM(AK11:AK27)</f>
        <v>396</v>
      </c>
      <c r="AL28" s="86">
        <f>COUNT(AL11:AL27)</f>
        <v>9</v>
      </c>
      <c r="AM28" s="335">
        <f>+AN28/AL28</f>
        <v>45.888888888888886</v>
      </c>
      <c r="AN28" s="40">
        <f>SUM(AN11:AN27)</f>
        <v>413</v>
      </c>
      <c r="AO28" s="86">
        <f>COUNT(AO11:AO27)</f>
        <v>8</v>
      </c>
      <c r="AP28" s="335">
        <f>+AQ28/AO28</f>
        <v>46.375</v>
      </c>
      <c r="AQ28" s="40">
        <f>SUM(AQ11:AQ27)</f>
        <v>371</v>
      </c>
      <c r="AR28" s="86">
        <f>COUNT(AR11:AR27)</f>
        <v>9</v>
      </c>
      <c r="AS28" s="335">
        <f>+AT28/AR28</f>
        <v>46.444444444444443</v>
      </c>
      <c r="AT28" s="40">
        <f>SUM(AT11:AT27)</f>
        <v>418</v>
      </c>
      <c r="AU28" s="86">
        <f>COUNT(AU11:AU27)</f>
        <v>9</v>
      </c>
      <c r="AV28" s="41"/>
      <c r="AW28" s="40">
        <f>SUM(AW11:AW27)</f>
        <v>353</v>
      </c>
      <c r="AX28" s="86">
        <f>COUNT(AX11:AX27)</f>
        <v>9</v>
      </c>
      <c r="AY28" s="41"/>
      <c r="AZ28" s="40">
        <f>SUM(AZ11:AZ27)</f>
        <v>423</v>
      </c>
      <c r="BA28" s="86">
        <f>COUNT(BA11:BA27)</f>
        <v>7</v>
      </c>
      <c r="BB28" s="41"/>
      <c r="BC28" s="40">
        <f>SUM(BC11:BC27)</f>
        <v>273</v>
      </c>
      <c r="BD28" s="86">
        <f>COUNT(BD11:BD27)</f>
        <v>9</v>
      </c>
      <c r="BE28" s="41"/>
      <c r="BF28" s="40">
        <f>SUM(BF11:BF27)</f>
        <v>415</v>
      </c>
      <c r="BG28" s="86">
        <f>COUNT(BG11:BG27)</f>
        <v>8</v>
      </c>
      <c r="BH28" s="41"/>
      <c r="BI28" s="40">
        <f>SUM(BI11:BI27)</f>
        <v>406</v>
      </c>
      <c r="BJ28" s="86">
        <f>COUNT(BJ11:BJ27)</f>
        <v>8</v>
      </c>
      <c r="BK28" s="41"/>
      <c r="BL28" s="40">
        <f>SUM(BL11:BL27)</f>
        <v>366</v>
      </c>
      <c r="BM28" s="86">
        <f>COUNT(BM11:BM27)</f>
        <v>8</v>
      </c>
      <c r="BN28" s="41"/>
      <c r="BO28" s="40">
        <f>SUM(BO11:BO27)</f>
        <v>389</v>
      </c>
      <c r="BP28" s="86">
        <f>COUNT(BP11:BP27)</f>
        <v>8</v>
      </c>
      <c r="BQ28" s="41"/>
      <c r="BR28" s="40">
        <f>SUM(BR11:BR27)</f>
        <v>371</v>
      </c>
      <c r="BS28" s="86">
        <f>COUNT(BS11:BS27)</f>
        <v>0</v>
      </c>
      <c r="BT28" s="41"/>
      <c r="BU28" s="40">
        <f>SUM(BU11:BU27)</f>
        <v>0</v>
      </c>
      <c r="BV28" s="86">
        <f>COUNT(BV11:BV27)</f>
        <v>0</v>
      </c>
      <c r="BW28" s="41"/>
      <c r="BX28" s="40">
        <f>SUM(BX11:BX27)</f>
        <v>0</v>
      </c>
      <c r="BY28" s="86">
        <f>COUNT(BY11:BY27)</f>
        <v>0</v>
      </c>
      <c r="BZ28" s="41"/>
      <c r="CA28" s="40">
        <f>SUM(CA11:CA27)</f>
        <v>0</v>
      </c>
    </row>
    <row r="29" spans="1:86" ht="16.5" thickTop="1" x14ac:dyDescent="0.25">
      <c r="A29" s="4" t="s">
        <v>102</v>
      </c>
      <c r="B29" s="336"/>
      <c r="C29" s="8"/>
      <c r="D29" s="4">
        <f>ROUND(AVERAGE(D11:D27),1)</f>
        <v>46.1</v>
      </c>
      <c r="E29" s="8"/>
      <c r="F29" s="8"/>
      <c r="G29" s="340">
        <f>ROUND(AVERAGE(G11:G27),1)</f>
        <v>41.8</v>
      </c>
      <c r="H29" s="8"/>
      <c r="I29" s="8"/>
      <c r="J29" s="340">
        <f>ROUND(AVERAGE(J11:J27),1)</f>
        <v>42.6</v>
      </c>
      <c r="K29" s="8"/>
      <c r="L29" s="8"/>
      <c r="M29" s="340">
        <f>ROUND(AVERAGE(M11:M27),1)</f>
        <v>50.3</v>
      </c>
      <c r="N29" s="8"/>
      <c r="O29" s="8"/>
      <c r="P29" s="4">
        <f>ROUND(AVERAGE(P11:P27),1)</f>
        <v>48.3</v>
      </c>
      <c r="Q29" s="8"/>
      <c r="R29" s="8"/>
      <c r="S29" s="340"/>
      <c r="T29" s="8"/>
      <c r="U29" s="8"/>
      <c r="V29" s="4">
        <f>ROUND(AVERAGE(V11:V27),1)</f>
        <v>45.4</v>
      </c>
      <c r="W29" s="8"/>
      <c r="X29" s="8"/>
      <c r="Y29" s="340">
        <f>ROUND(AVERAGE(Y11:Y27),1)</f>
        <v>41.5</v>
      </c>
      <c r="Z29" s="8"/>
      <c r="AA29" s="8"/>
      <c r="AB29" s="340" t="e">
        <f>ROUND(AVERAGE(AB11:AB27),1)</f>
        <v>#DIV/0!</v>
      </c>
      <c r="AC29" s="8"/>
      <c r="AD29" s="8"/>
      <c r="AE29" s="340" t="e">
        <f>ROUND(AVERAGE(AE11:AE27),1)</f>
        <v>#DIV/0!</v>
      </c>
      <c r="AF29" s="8"/>
      <c r="AG29" s="8"/>
      <c r="AH29" s="4">
        <f>ROUND(AVERAGE(AH11:AH27),1)</f>
        <v>46.8</v>
      </c>
      <c r="AI29" s="8"/>
      <c r="AJ29" s="8"/>
      <c r="AK29" s="340">
        <f>ROUND(AVERAGE(AK11:AK27),1)</f>
        <v>44</v>
      </c>
      <c r="AL29" s="8"/>
      <c r="AM29" s="8"/>
      <c r="AN29" s="4">
        <f>ROUND(AVERAGE(AN11:AN27),1)</f>
        <v>45.9</v>
      </c>
      <c r="AO29" s="8"/>
      <c r="AP29" s="8"/>
      <c r="AQ29" s="4">
        <f>ROUND(AVERAGE(AQ11:AQ27),1)</f>
        <v>46.4</v>
      </c>
      <c r="AR29" s="8"/>
      <c r="AS29" s="8"/>
      <c r="AT29" s="340">
        <f>ROUND(AVERAGE(AT11:AT27),1)</f>
        <v>46.4</v>
      </c>
      <c r="AU29" s="8"/>
      <c r="AV29" s="8"/>
      <c r="AW29" s="340">
        <f>ROUND(AVERAGE(AW11:AW27),1)</f>
        <v>39.200000000000003</v>
      </c>
      <c r="AX29" s="8"/>
      <c r="AY29" s="8"/>
      <c r="AZ29" s="340">
        <f>ROUND(AVERAGE(AZ11:AZ27),1)</f>
        <v>47</v>
      </c>
      <c r="BA29" s="8"/>
      <c r="BB29" s="8"/>
      <c r="BC29" s="340">
        <f>ROUND(AVERAGE(BC11:BC27),1)</f>
        <v>39</v>
      </c>
      <c r="BD29" s="8"/>
      <c r="BE29" s="8"/>
      <c r="BF29" s="340">
        <f>ROUND(AVERAGE(BF11:BF27),1)</f>
        <v>46.1</v>
      </c>
      <c r="BG29" s="8"/>
      <c r="BH29" s="8"/>
      <c r="BI29" s="340">
        <f>ROUND(AVERAGE(BI11:BI27),1)</f>
        <v>50.8</v>
      </c>
      <c r="BJ29" s="8"/>
      <c r="BK29" s="8"/>
      <c r="BL29" s="340">
        <f>ROUND(AVERAGE(BL11:BL27),1)</f>
        <v>45.8</v>
      </c>
      <c r="BM29" s="8"/>
      <c r="BN29" s="8"/>
      <c r="BO29" s="340">
        <f>ROUND(AVERAGE(BO11:BO27),1)</f>
        <v>48.6</v>
      </c>
      <c r="BP29" s="8"/>
      <c r="BQ29" s="8"/>
      <c r="BR29" s="340">
        <f>ROUND(AVERAGE(BR11:BR27),1)</f>
        <v>46.4</v>
      </c>
      <c r="BS29" s="8"/>
      <c r="BT29" s="8"/>
      <c r="BU29" s="4"/>
      <c r="BV29" s="8"/>
      <c r="BW29" s="8"/>
      <c r="BX29" s="4"/>
      <c r="BY29" s="8"/>
      <c r="BZ29" s="8"/>
      <c r="CA29" s="4"/>
    </row>
    <row r="30" spans="1:86" s="131" customFormat="1" ht="15.75" x14ac:dyDescent="0.25">
      <c r="A30" s="239" t="s">
        <v>8</v>
      </c>
      <c r="B30" s="357" t="s">
        <v>39</v>
      </c>
      <c r="C30" s="358"/>
      <c r="D30" s="369"/>
      <c r="E30" s="357" t="s">
        <v>41</v>
      </c>
      <c r="F30" s="358"/>
      <c r="G30" s="359"/>
      <c r="H30" s="357" t="s">
        <v>61</v>
      </c>
      <c r="I30" s="358"/>
      <c r="J30" s="359"/>
      <c r="K30" s="357" t="s">
        <v>43</v>
      </c>
      <c r="L30" s="358"/>
      <c r="M30" s="359"/>
      <c r="N30" s="357" t="s">
        <v>64</v>
      </c>
      <c r="O30" s="358"/>
      <c r="P30" s="359"/>
      <c r="Q30" s="357" t="s">
        <v>46</v>
      </c>
      <c r="R30" s="358"/>
      <c r="S30" s="359"/>
      <c r="T30" s="357"/>
      <c r="U30" s="358"/>
      <c r="V30" s="359"/>
      <c r="W30" s="357" t="s">
        <v>47</v>
      </c>
      <c r="X30" s="358"/>
      <c r="Y30" s="359"/>
      <c r="Z30" s="357"/>
      <c r="AA30" s="358"/>
      <c r="AB30" s="359"/>
      <c r="AC30" s="357" t="s">
        <v>49</v>
      </c>
      <c r="AD30" s="358"/>
      <c r="AE30" s="359"/>
      <c r="AF30" s="357" t="s">
        <v>51</v>
      </c>
      <c r="AG30" s="358"/>
      <c r="AH30" s="359"/>
      <c r="AI30" s="357" t="s">
        <v>46</v>
      </c>
      <c r="AJ30" s="358"/>
      <c r="AK30" s="359"/>
      <c r="AL30" s="357" t="s">
        <v>52</v>
      </c>
      <c r="AM30" s="358"/>
      <c r="AN30" s="359"/>
      <c r="AO30" s="357" t="s">
        <v>75</v>
      </c>
      <c r="AP30" s="358"/>
      <c r="AQ30" s="359"/>
      <c r="AR30" s="357" t="s">
        <v>77</v>
      </c>
      <c r="AS30" s="358"/>
      <c r="AT30" s="359"/>
      <c r="AU30" s="357" t="s">
        <v>76</v>
      </c>
      <c r="AV30" s="358"/>
      <c r="AW30" s="359"/>
      <c r="AX30" s="390" t="s">
        <v>80</v>
      </c>
      <c r="AY30" s="391"/>
      <c r="AZ30" s="392"/>
      <c r="BA30" s="357" t="s">
        <v>88</v>
      </c>
      <c r="BB30" s="358"/>
      <c r="BC30" s="359"/>
      <c r="BD30" s="357" t="s">
        <v>89</v>
      </c>
      <c r="BE30" s="358"/>
      <c r="BF30" s="359"/>
      <c r="BG30" s="357" t="s">
        <v>90</v>
      </c>
      <c r="BH30" s="358"/>
      <c r="BI30" s="359"/>
      <c r="BJ30" s="357" t="s">
        <v>91</v>
      </c>
      <c r="BK30" s="358"/>
      <c r="BL30" s="359"/>
      <c r="BM30" s="357" t="s">
        <v>92</v>
      </c>
      <c r="BN30" s="358"/>
      <c r="BO30" s="359"/>
      <c r="BP30" s="357" t="s">
        <v>93</v>
      </c>
      <c r="BQ30" s="358"/>
      <c r="BR30" s="359"/>
      <c r="BS30" s="357"/>
      <c r="BT30" s="358"/>
      <c r="BU30" s="359"/>
      <c r="BV30" s="357"/>
      <c r="BW30" s="358"/>
      <c r="BX30" s="359"/>
      <c r="BY30" s="357"/>
      <c r="BZ30" s="358"/>
      <c r="CA30" s="359"/>
    </row>
    <row r="31" spans="1:86" ht="31.5" customHeight="1" x14ac:dyDescent="0.25">
      <c r="A31" s="5"/>
      <c r="B31" s="383" t="s">
        <v>40</v>
      </c>
      <c r="C31" s="384"/>
      <c r="D31" s="385"/>
      <c r="E31" s="373" t="s">
        <v>42</v>
      </c>
      <c r="F31" s="374"/>
      <c r="G31" s="379"/>
      <c r="H31" s="373" t="s">
        <v>62</v>
      </c>
      <c r="I31" s="374"/>
      <c r="J31" s="379"/>
      <c r="K31" s="373" t="s">
        <v>44</v>
      </c>
      <c r="L31" s="374"/>
      <c r="M31" s="379"/>
      <c r="N31" s="373"/>
      <c r="O31" s="374"/>
      <c r="P31" s="379"/>
      <c r="Q31" s="373" t="s">
        <v>38</v>
      </c>
      <c r="R31" s="374"/>
      <c r="S31" s="379"/>
      <c r="T31" s="373"/>
      <c r="U31" s="374"/>
      <c r="V31" s="379"/>
      <c r="W31" s="373" t="s">
        <v>48</v>
      </c>
      <c r="X31" s="374"/>
      <c r="Y31" s="379"/>
      <c r="Z31" s="373"/>
      <c r="AA31" s="374"/>
      <c r="AB31" s="379"/>
      <c r="AC31" s="373" t="s">
        <v>50</v>
      </c>
      <c r="AD31" s="374"/>
      <c r="AE31" s="379"/>
      <c r="AF31" s="373" t="s">
        <v>44</v>
      </c>
      <c r="AG31" s="374"/>
      <c r="AH31" s="379"/>
      <c r="AI31" s="373" t="s">
        <v>38</v>
      </c>
      <c r="AJ31" s="374"/>
      <c r="AK31" s="379"/>
      <c r="AL31" s="373" t="s">
        <v>53</v>
      </c>
      <c r="AM31" s="374"/>
      <c r="AN31" s="379"/>
      <c r="AO31" s="373" t="s">
        <v>37</v>
      </c>
      <c r="AP31" s="374"/>
      <c r="AQ31" s="379"/>
      <c r="AR31" s="386" t="s">
        <v>78</v>
      </c>
      <c r="AS31" s="387"/>
      <c r="AT31" s="388"/>
      <c r="AU31" s="386" t="s">
        <v>79</v>
      </c>
      <c r="AV31" s="387"/>
      <c r="AW31" s="388"/>
      <c r="AX31" s="386" t="s">
        <v>81</v>
      </c>
      <c r="AY31" s="387"/>
      <c r="AZ31" s="388"/>
      <c r="BA31" s="386" t="s">
        <v>94</v>
      </c>
      <c r="BB31" s="387"/>
      <c r="BC31" s="388"/>
      <c r="BD31" s="386" t="s">
        <v>62</v>
      </c>
      <c r="BE31" s="387"/>
      <c r="BF31" s="388"/>
      <c r="BG31" s="386" t="s">
        <v>95</v>
      </c>
      <c r="BH31" s="387"/>
      <c r="BI31" s="388"/>
      <c r="BJ31" s="386" t="s">
        <v>96</v>
      </c>
      <c r="BK31" s="387"/>
      <c r="BL31" s="388"/>
      <c r="BM31" s="386" t="s">
        <v>97</v>
      </c>
      <c r="BN31" s="387"/>
      <c r="BO31" s="388"/>
      <c r="BP31" s="386" t="s">
        <v>38</v>
      </c>
      <c r="BQ31" s="387"/>
      <c r="BR31" s="388"/>
      <c r="BS31" s="373"/>
      <c r="BT31" s="374"/>
      <c r="BU31" s="379"/>
      <c r="BV31" s="373"/>
      <c r="BW31" s="374"/>
      <c r="BX31" s="379"/>
      <c r="BY31" s="373"/>
      <c r="BZ31" s="374"/>
      <c r="CA31" s="379"/>
    </row>
    <row r="32" spans="1:86" s="44" customFormat="1" ht="16.5" thickBot="1" x14ac:dyDescent="0.3">
      <c r="A32" s="85" t="s">
        <v>5</v>
      </c>
      <c r="B32" s="225"/>
      <c r="C32" s="226"/>
      <c r="D32" s="227">
        <f>46+40+34+46+54+22+68</f>
        <v>310</v>
      </c>
      <c r="E32" s="86"/>
      <c r="F32" s="43"/>
      <c r="G32" s="87">
        <f>42+37+42+50+36+43+40+41</f>
        <v>331</v>
      </c>
      <c r="H32" s="86"/>
      <c r="I32" s="43"/>
      <c r="J32" s="87">
        <f>48+46+39+52+42+53+38+9+8+7+5+8+7+8+14+7+8+6+7</f>
        <v>412</v>
      </c>
      <c r="K32" s="86"/>
      <c r="L32" s="43"/>
      <c r="M32" s="87">
        <f>41+52+42+54+54+47+45</f>
        <v>335</v>
      </c>
      <c r="N32" s="86"/>
      <c r="O32" s="43"/>
      <c r="P32" s="87">
        <f>39+45+40+44+48+41+48</f>
        <v>305</v>
      </c>
      <c r="Q32" s="86"/>
      <c r="R32" s="43"/>
      <c r="S32" s="87"/>
      <c r="T32" s="86"/>
      <c r="U32" s="43"/>
      <c r="V32" s="87">
        <f>34+53+50+42+53+41+48+47</f>
        <v>368</v>
      </c>
      <c r="W32" s="86"/>
      <c r="X32" s="43"/>
      <c r="Y32" s="87">
        <f>40+36+43+42+49+46+56+42</f>
        <v>354</v>
      </c>
      <c r="Z32" s="86"/>
      <c r="AA32" s="43"/>
      <c r="AB32" s="87"/>
      <c r="AC32" s="86"/>
      <c r="AD32" s="43"/>
      <c r="AE32" s="87"/>
      <c r="AF32" s="86"/>
      <c r="AG32" s="43"/>
      <c r="AH32" s="87">
        <f>49+46+63+51+55+47+40+60</f>
        <v>411</v>
      </c>
      <c r="AI32" s="86"/>
      <c r="AJ32" s="43"/>
      <c r="AK32" s="87">
        <f>396-32</f>
        <v>364</v>
      </c>
      <c r="AL32" s="86"/>
      <c r="AM32" s="43"/>
      <c r="AN32" s="87">
        <f>39+37+35+48+32+45+47+51+37</f>
        <v>371</v>
      </c>
      <c r="AO32" s="86"/>
      <c r="AP32" s="43"/>
      <c r="AQ32" s="87">
        <f>40+39+44+43+34+49+46+32</f>
        <v>327</v>
      </c>
      <c r="AR32" s="86"/>
      <c r="AS32" s="43"/>
      <c r="AT32" s="87">
        <f>42+42+25+40+41+42+44+42+32</f>
        <v>350</v>
      </c>
      <c r="AU32" s="86"/>
      <c r="AV32" s="43"/>
      <c r="AW32" s="87">
        <f>40+36+40+50+28+36+38+42+43</f>
        <v>353</v>
      </c>
      <c r="AX32" s="86"/>
      <c r="AY32" s="43"/>
      <c r="AZ32" s="87">
        <f>49+45+32+47+38+43+49+28+41</f>
        <v>372</v>
      </c>
      <c r="BA32" s="86"/>
      <c r="BB32" s="43"/>
      <c r="BC32" s="87">
        <f>41+34+43+33+39+33+38</f>
        <v>261</v>
      </c>
      <c r="BD32" s="86"/>
      <c r="BE32" s="43"/>
      <c r="BF32" s="87">
        <f>35+55+43+48+44+57+48+37+54</f>
        <v>421</v>
      </c>
      <c r="BG32" s="86"/>
      <c r="BH32" s="43"/>
      <c r="BI32" s="87">
        <f>41+47+54+53+46+41+56+44</f>
        <v>382</v>
      </c>
      <c r="BJ32" s="86"/>
      <c r="BK32" s="43"/>
      <c r="BL32" s="87">
        <f>44+40+49+43+46+45+44+33</f>
        <v>344</v>
      </c>
      <c r="BM32" s="86"/>
      <c r="BN32" s="43"/>
      <c r="BO32" s="87">
        <v>390</v>
      </c>
      <c r="BP32" s="86"/>
      <c r="BQ32" s="43"/>
      <c r="BR32" s="87">
        <f>38+41+40+47+48+48+44+41</f>
        <v>347</v>
      </c>
      <c r="BS32" s="86"/>
      <c r="BT32" s="43"/>
      <c r="BU32" s="87"/>
      <c r="BV32" s="86"/>
      <c r="BW32" s="43"/>
      <c r="BX32" s="87"/>
      <c r="BY32" s="86"/>
      <c r="BZ32" s="43"/>
      <c r="CA32" s="87"/>
    </row>
    <row r="33" spans="1:82" ht="16.5" thickTop="1" x14ac:dyDescent="0.25">
      <c r="A33" s="4" t="s">
        <v>101</v>
      </c>
      <c r="B33" s="228"/>
      <c r="C33" s="229"/>
      <c r="D33" s="230">
        <f>IF(D32,+D28-D32,"")</f>
        <v>13</v>
      </c>
      <c r="E33" s="229"/>
      <c r="F33" s="229"/>
      <c r="G33" s="230">
        <f>IF(G32,+G28-G32,"")</f>
        <v>3</v>
      </c>
      <c r="H33" s="11"/>
      <c r="I33" s="13"/>
      <c r="J33" s="230">
        <f>IF(J32,+J28-J32,"")</f>
        <v>-29</v>
      </c>
      <c r="K33" s="11"/>
      <c r="L33" s="13"/>
      <c r="M33" s="230">
        <f>IF(M32,+M28-M32,"")</f>
        <v>17</v>
      </c>
      <c r="N33" s="11"/>
      <c r="O33" s="13"/>
      <c r="P33" s="230">
        <f>IF(P32,+P28-P32,"")</f>
        <v>33</v>
      </c>
      <c r="Q33" s="11"/>
      <c r="R33" s="13"/>
      <c r="S33" s="230" t="str">
        <f>IF(S32,+S28-S32,"")</f>
        <v/>
      </c>
      <c r="T33" s="11"/>
      <c r="U33" s="13"/>
      <c r="V33" s="230">
        <f>IF(V32,+V28-V32,"")</f>
        <v>-5</v>
      </c>
      <c r="W33" s="11"/>
      <c r="X33" s="13"/>
      <c r="Y33" s="230">
        <f>IF(Y32,+Y28-Y32,"")</f>
        <v>-22</v>
      </c>
      <c r="Z33" s="11"/>
      <c r="AA33" s="13"/>
      <c r="AB33" s="230" t="str">
        <f>IF(AB32,+AB28-AB32,"")</f>
        <v/>
      </c>
      <c r="AC33" s="11"/>
      <c r="AD33" s="13"/>
      <c r="AE33" s="230" t="str">
        <f>IF(AE32,+AE28-AE32,"")</f>
        <v/>
      </c>
      <c r="AF33" s="11"/>
      <c r="AG33" s="13"/>
      <c r="AH33" s="230">
        <f>IF(AH32,+AH28-AH32,"")</f>
        <v>-37</v>
      </c>
      <c r="AI33" s="11"/>
      <c r="AJ33" s="13"/>
      <c r="AK33" s="230">
        <f>IF(AK32,+AK28-AK32,"")</f>
        <v>32</v>
      </c>
      <c r="AL33" s="11"/>
      <c r="AM33" s="13"/>
      <c r="AN33" s="230">
        <f>IF(AN32,+AN28-AN32,"")</f>
        <v>42</v>
      </c>
      <c r="AO33" s="11"/>
      <c r="AP33" s="13"/>
      <c r="AQ33" s="230">
        <f>IF(AQ32,+AQ28-AQ32,"")</f>
        <v>44</v>
      </c>
      <c r="AR33" s="11"/>
      <c r="AS33" s="13"/>
      <c r="AT33" s="230">
        <f>IF(AT32,+AT28-AT32,"")</f>
        <v>68</v>
      </c>
      <c r="AU33" s="11"/>
      <c r="AV33" s="13"/>
      <c r="AW33" s="230">
        <f>IF(AW32,+AW28-AW32,"")</f>
        <v>0</v>
      </c>
      <c r="AX33" s="11"/>
      <c r="AY33" s="13"/>
      <c r="AZ33" s="230">
        <f>IF(AZ32,+AZ28-AZ32,"")</f>
        <v>51</v>
      </c>
      <c r="BA33" s="11"/>
      <c r="BB33" s="13"/>
      <c r="BC33" s="230">
        <f>IF(BC32,+BC28-BC32,"")</f>
        <v>12</v>
      </c>
      <c r="BD33" s="11"/>
      <c r="BE33" s="13"/>
      <c r="BF33" s="230">
        <f>IF(BF32,+BF28-BF32,"")</f>
        <v>-6</v>
      </c>
      <c r="BG33" s="11"/>
      <c r="BH33" s="13"/>
      <c r="BI33" s="230">
        <f>IF(BI32,+BI28-BI32,"")</f>
        <v>24</v>
      </c>
      <c r="BJ33" s="11"/>
      <c r="BK33" s="13"/>
      <c r="BL33" s="230">
        <f>IF(BL32,+BL28-BL32,"")</f>
        <v>22</v>
      </c>
      <c r="BM33" s="11"/>
      <c r="BN33" s="13"/>
      <c r="BO33" s="230">
        <f>IF(BO32,+BO28-BO32,"")</f>
        <v>-1</v>
      </c>
      <c r="BP33" s="11"/>
      <c r="BQ33" s="13"/>
      <c r="BR33" s="230">
        <f>IF(BR32,+BR28-BR32,"")</f>
        <v>24</v>
      </c>
      <c r="BS33" s="11"/>
      <c r="BT33" s="13"/>
      <c r="BU33" s="230" t="str">
        <f>IF(BU32,+BU28-BU32,"")</f>
        <v/>
      </c>
      <c r="BV33" s="11"/>
      <c r="BW33" s="13"/>
      <c r="BX33" s="230" t="str">
        <f>IF(BX32,+BX28-BX32,"")</f>
        <v/>
      </c>
      <c r="BY33" s="11"/>
      <c r="BZ33" s="13"/>
      <c r="CA33" s="230" t="str">
        <f>IF(CA32,+CA28-CA32,"")</f>
        <v/>
      </c>
      <c r="CD33" s="230"/>
    </row>
    <row r="34" spans="1:82" ht="15.75" x14ac:dyDescent="0.25">
      <c r="A34" s="5" t="s">
        <v>7</v>
      </c>
      <c r="B34" s="231"/>
      <c r="C34" s="232"/>
      <c r="D34" s="6" t="str">
        <f>IF(D28&lt;&gt;0,(IF(D28&gt;D32,"Win",IF(D28&lt;D32,"Loss","Draw"))),"")</f>
        <v>Win</v>
      </c>
      <c r="E34" s="232"/>
      <c r="F34" s="232"/>
      <c r="G34" s="6" t="str">
        <f>IF(G28&lt;&gt;0,(IF(G28&gt;G32,"Win",IF(G28&lt;G32,"Loss","Draw"))),"")</f>
        <v>Win</v>
      </c>
      <c r="H34" s="10"/>
      <c r="I34" s="12"/>
      <c r="J34" s="6" t="str">
        <f>IF(J28&lt;&gt;0,(IF(J28&gt;J32,"Win",IF(J28&lt;J32,"Loss","Draw"))),"")</f>
        <v>Loss</v>
      </c>
      <c r="K34" s="10"/>
      <c r="L34" s="12"/>
      <c r="M34" s="6" t="str">
        <f>IF(M28&lt;&gt;0,(IF(M28&gt;M32,"Win",IF(M28&lt;M32,"Loss","Draw"))),"")</f>
        <v>Win</v>
      </c>
      <c r="N34" s="10"/>
      <c r="O34" s="12"/>
      <c r="P34" s="6" t="str">
        <f>IF(P28&lt;&gt;0,(IF(P28&gt;P32,"Win",IF(P28&lt;P32,"Loss","Draw"))),"")</f>
        <v>Win</v>
      </c>
      <c r="Q34" s="232"/>
      <c r="R34" s="232"/>
      <c r="S34" s="6" t="str">
        <f>IF(S28&lt;&gt;0,(IF(S28&gt;S32,"Win",IF(S28&lt;S32,"Loss","Draw"))),"")</f>
        <v/>
      </c>
      <c r="T34" s="10"/>
      <c r="U34" s="12"/>
      <c r="V34" s="6" t="str">
        <f>IF(V28&lt;&gt;0,(IF(V28&gt;V32,"Win",IF(V28&lt;V32,"Loss","Draw"))),"")</f>
        <v>Loss</v>
      </c>
      <c r="W34" s="10"/>
      <c r="X34" s="12"/>
      <c r="Y34" s="6" t="str">
        <f>IF(Y28&lt;&gt;0,(IF(Y28&gt;Y32,"Win",IF(Y28&lt;Y32,"Loss","Draw"))),"")</f>
        <v>Loss</v>
      </c>
      <c r="Z34" s="10"/>
      <c r="AA34" s="12"/>
      <c r="AB34" s="6" t="str">
        <f>IF(AB28&lt;&gt;0,(IF(AB28&gt;AB32,"Win",IF(AB28&lt;AB32,"Loss","Draw"))),"")</f>
        <v/>
      </c>
      <c r="AC34" s="232"/>
      <c r="AD34" s="232"/>
      <c r="AE34" s="6" t="str">
        <f>IF(AE28&lt;&gt;0,(IF(AE28&gt;AE32,"Win",IF(AE28&lt;AE32,"Loss","Draw"))),"")</f>
        <v/>
      </c>
      <c r="AF34" s="10"/>
      <c r="AG34" s="12"/>
      <c r="AH34" s="6" t="str">
        <f>IF(AH28&lt;&gt;0,(IF(AH28&gt;AH32,"Win",IF(AH28&lt;AH32,"Loss","Draw"))),"")</f>
        <v>Loss</v>
      </c>
      <c r="AI34" s="10"/>
      <c r="AJ34" s="12"/>
      <c r="AK34" s="6" t="str">
        <f>IF(AK28&lt;&gt;0,(IF(AK28&gt;AK32,"Win",IF(AK28&lt;AK32,"Loss","Draw"))),"")</f>
        <v>Win</v>
      </c>
      <c r="AL34" s="10"/>
      <c r="AM34" s="12"/>
      <c r="AN34" s="6" t="str">
        <f>IF(AN28&lt;&gt;0,(IF(AN28&gt;AN32,"Win",IF(AN28&lt;AN32,"Loss","Draw"))),"")</f>
        <v>Win</v>
      </c>
      <c r="AO34" s="232"/>
      <c r="AP34" s="232"/>
      <c r="AQ34" s="6" t="str">
        <f>IF(AQ28&lt;&gt;0,(IF(AQ28&gt;AQ32,"Win",IF(AQ28&lt;AQ32,"Loss","Draw"))),"")</f>
        <v>Win</v>
      </c>
      <c r="AR34" s="10"/>
      <c r="AS34" s="12"/>
      <c r="AT34" s="6" t="str">
        <f>IF(AT28&lt;&gt;0,(IF(AT28&gt;AT32,"Win",IF(AT28&lt;AT32,"Loss","Draw"))),"")</f>
        <v>Win</v>
      </c>
      <c r="AU34" s="10"/>
      <c r="AV34" s="12"/>
      <c r="AW34" s="6" t="str">
        <f>IF(AW28&lt;&gt;0,(IF(AW28&gt;AW32,"Win",IF(AW28&lt;AW32,"Loss","Draw"))),"")</f>
        <v>Draw</v>
      </c>
      <c r="AX34" s="10"/>
      <c r="AY34" s="12"/>
      <c r="AZ34" s="6" t="str">
        <f>IF(AZ28&lt;&gt;0,(IF(AZ28&gt;AZ32,"Win",IF(AZ28&lt;AZ32,"Loss","Draw"))),"")</f>
        <v>Win</v>
      </c>
      <c r="BA34" s="232"/>
      <c r="BB34" s="232"/>
      <c r="BC34" s="6" t="str">
        <f>IF(BC28&lt;&gt;0,(IF(BC28&gt;BC32,"Win",IF(BC28&lt;BC32,"Loss","Draw"))),"")</f>
        <v>Win</v>
      </c>
      <c r="BD34" s="10"/>
      <c r="BE34" s="12"/>
      <c r="BF34" s="6" t="str">
        <f>IF(BF28&lt;&gt;0,(IF(BF28&gt;BF32,"Win",IF(BF28&lt;BF32,"Loss","Draw"))),"")</f>
        <v>Loss</v>
      </c>
      <c r="BG34" s="10"/>
      <c r="BH34" s="12"/>
      <c r="BI34" s="6" t="str">
        <f>IF(BI28&lt;&gt;0,(IF(BI28&gt;BI32,"Win",IF(BI28&lt;BI32,"Loss","Draw"))),"")</f>
        <v>Win</v>
      </c>
      <c r="BJ34" s="10"/>
      <c r="BK34" s="12"/>
      <c r="BL34" s="6" t="str">
        <f>IF(BL28&lt;&gt;0,(IF(BL28&gt;BL32,"Win",IF(BL28&lt;BL32,"Loss","Draw"))),"")</f>
        <v>Win</v>
      </c>
      <c r="BM34" s="232"/>
      <c r="BN34" s="232"/>
      <c r="BO34" s="6" t="str">
        <f>IF(BO28&lt;&gt;0,(IF(BO28&gt;BO32,"Win",IF(BO28&lt;BO32,"Loss","Draw"))),"")</f>
        <v>Loss</v>
      </c>
      <c r="BP34" s="10"/>
      <c r="BQ34" s="12"/>
      <c r="BR34" s="6" t="str">
        <f>IF(BR28&lt;&gt;0,(IF(BR28&gt;BR32,"Win",IF(BR28&lt;BR32,"Loss","Draw"))),"")</f>
        <v>Win</v>
      </c>
      <c r="BS34" s="10"/>
      <c r="BT34" s="12"/>
      <c r="BU34" s="6" t="str">
        <f>IF(BU28&lt;&gt;0,(IF(BU28&gt;BU32,"Win",IF(BU28&lt;BU32,"Loss","Draw"))),"")</f>
        <v/>
      </c>
      <c r="BV34" s="10"/>
      <c r="BW34" s="12"/>
      <c r="BX34" s="6" t="str">
        <f>IF(BX28&lt;&gt;0,(IF(BX28&gt;BX32,"Win",IF(BX28&lt;BX32,"Loss","Draw"))),"")</f>
        <v/>
      </c>
      <c r="BY34" s="10"/>
      <c r="BZ34" s="12"/>
      <c r="CA34" s="6" t="str">
        <f>IF(CA28&lt;&gt;0,(IF(CA28&gt;CA32,"Win",IF(CA28&lt;CA32,"Loss","Draw"))),"")</f>
        <v/>
      </c>
    </row>
    <row r="35" spans="1:82" ht="66" customHeight="1" x14ac:dyDescent="0.25">
      <c r="A35" s="14" t="s">
        <v>9</v>
      </c>
      <c r="B35" s="360"/>
      <c r="C35" s="361"/>
      <c r="D35" s="362"/>
      <c r="E35" s="360"/>
      <c r="F35" s="361"/>
      <c r="G35" s="362"/>
      <c r="H35" s="360" t="s">
        <v>45</v>
      </c>
      <c r="I35" s="361"/>
      <c r="J35" s="362"/>
      <c r="K35" s="360"/>
      <c r="L35" s="361"/>
      <c r="M35" s="362"/>
      <c r="N35" s="360" t="s">
        <v>58</v>
      </c>
      <c r="O35" s="361"/>
      <c r="P35" s="362"/>
      <c r="Q35" s="360" t="s">
        <v>65</v>
      </c>
      <c r="R35" s="361"/>
      <c r="S35" s="362"/>
      <c r="T35" s="360" t="s">
        <v>59</v>
      </c>
      <c r="U35" s="361"/>
      <c r="V35" s="362"/>
      <c r="W35" s="360"/>
      <c r="X35" s="361"/>
      <c r="Y35" s="362"/>
      <c r="Z35" s="360" t="s">
        <v>71</v>
      </c>
      <c r="AA35" s="361"/>
      <c r="AB35" s="362"/>
      <c r="AC35" s="360" t="s">
        <v>72</v>
      </c>
      <c r="AD35" s="361"/>
      <c r="AE35" s="362"/>
      <c r="AF35" s="360"/>
      <c r="AG35" s="361"/>
      <c r="AH35" s="362"/>
      <c r="AI35" s="360" t="s">
        <v>74</v>
      </c>
      <c r="AJ35" s="361"/>
      <c r="AK35" s="362"/>
      <c r="AL35" s="360"/>
      <c r="AM35" s="361"/>
      <c r="AN35" s="362"/>
      <c r="AO35" s="360" t="s">
        <v>87</v>
      </c>
      <c r="AP35" s="361"/>
      <c r="AQ35" s="362"/>
      <c r="AR35" s="360"/>
      <c r="AS35" s="361"/>
      <c r="AT35" s="362"/>
      <c r="AU35" s="360" t="s">
        <v>99</v>
      </c>
      <c r="AV35" s="361"/>
      <c r="AW35" s="362"/>
      <c r="AX35" s="360"/>
      <c r="AY35" s="361"/>
      <c r="AZ35" s="362"/>
      <c r="BA35" s="360" t="s">
        <v>99</v>
      </c>
      <c r="BB35" s="361"/>
      <c r="BC35" s="362"/>
      <c r="BD35" s="360"/>
      <c r="BE35" s="361"/>
      <c r="BF35" s="362"/>
      <c r="BG35" s="360"/>
      <c r="BH35" s="361"/>
      <c r="BI35" s="362"/>
      <c r="BJ35" s="360"/>
      <c r="BK35" s="361"/>
      <c r="BL35" s="362"/>
      <c r="BM35" s="360"/>
      <c r="BN35" s="361"/>
      <c r="BO35" s="362"/>
      <c r="BP35" s="360"/>
      <c r="BQ35" s="361"/>
      <c r="BR35" s="362"/>
      <c r="BS35" s="360"/>
      <c r="BT35" s="361"/>
      <c r="BU35" s="362"/>
      <c r="BV35" s="360"/>
      <c r="BW35" s="361"/>
      <c r="BX35" s="362"/>
      <c r="BY35" s="360"/>
      <c r="BZ35" s="361"/>
      <c r="CA35" s="362"/>
    </row>
    <row r="36" spans="1:82" ht="15.75" hidden="1" customHeight="1" x14ac:dyDescent="0.25">
      <c r="A36" t="s">
        <v>15</v>
      </c>
      <c r="B36" s="8" t="s">
        <v>33</v>
      </c>
      <c r="C36" s="8"/>
      <c r="D36" s="4"/>
      <c r="E36" s="4"/>
      <c r="F36" s="4"/>
      <c r="H36" s="4"/>
      <c r="I36" s="4"/>
      <c r="Q36" s="8"/>
      <c r="R36" s="8"/>
      <c r="S36" s="4"/>
      <c r="T36" s="4"/>
      <c r="U36" s="4"/>
      <c r="W36" s="4"/>
      <c r="X36" s="4"/>
      <c r="AL36" s="4"/>
      <c r="AM36" s="4"/>
    </row>
    <row r="37" spans="1:82" ht="15.75" hidden="1" customHeight="1" x14ac:dyDescent="0.25">
      <c r="A37" t="s">
        <v>6</v>
      </c>
      <c r="B37" s="8" t="s">
        <v>34</v>
      </c>
      <c r="C37" s="8"/>
      <c r="D37" s="4"/>
      <c r="E37" s="4"/>
      <c r="F37" s="4"/>
      <c r="H37" s="4"/>
      <c r="I37" s="4"/>
      <c r="Q37" s="8"/>
      <c r="R37" s="8"/>
      <c r="S37" s="4"/>
      <c r="T37" s="4"/>
      <c r="U37" s="4"/>
      <c r="W37" s="4"/>
      <c r="X37" s="4"/>
      <c r="AL37" s="4"/>
      <c r="AM37" s="4"/>
    </row>
    <row r="38" spans="1:82" ht="15.75" x14ac:dyDescent="0.25">
      <c r="B38" s="8"/>
      <c r="C38" s="8"/>
      <c r="D38" s="4"/>
      <c r="E38" s="4"/>
      <c r="F38" s="4"/>
      <c r="H38" s="4"/>
      <c r="I38" s="4"/>
      <c r="Q38" s="8"/>
      <c r="R38" s="8"/>
      <c r="S38" s="4"/>
      <c r="T38" s="4"/>
      <c r="U38" s="4"/>
      <c r="W38" s="4"/>
      <c r="X38" s="4"/>
      <c r="AL38" s="4"/>
      <c r="AM38" s="4"/>
    </row>
    <row r="39" spans="1:82" ht="15.75" x14ac:dyDescent="0.25">
      <c r="A39" t="s">
        <v>30</v>
      </c>
      <c r="P39" s="131"/>
      <c r="Q39" s="233"/>
      <c r="R39" s="233"/>
      <c r="S39" s="131"/>
      <c r="T39" s="131"/>
      <c r="U39" s="131"/>
      <c r="V39" s="131"/>
      <c r="W39" s="234"/>
      <c r="X39" s="235"/>
      <c r="Y39" s="234"/>
      <c r="Z39" s="234"/>
      <c r="AA39" s="235"/>
      <c r="AB39" s="234"/>
      <c r="AC39" s="234"/>
      <c r="AD39" s="235"/>
      <c r="AE39" s="234"/>
      <c r="AF39" s="234"/>
      <c r="AG39" s="235"/>
      <c r="AH39" s="234"/>
      <c r="AI39" s="234"/>
      <c r="AJ39" s="235"/>
      <c r="AK39" s="234"/>
      <c r="AL39" s="234"/>
      <c r="AM39" s="234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</row>
    <row r="40" spans="1:82" ht="15.75" x14ac:dyDescent="0.25">
      <c r="P40" s="131"/>
      <c r="Q40" s="131"/>
      <c r="R40" s="131"/>
      <c r="S40" s="131"/>
      <c r="T40" s="131"/>
      <c r="U40" s="131"/>
      <c r="V40" s="131"/>
      <c r="W40" s="234"/>
      <c r="X40" s="235"/>
      <c r="Y40" s="234"/>
      <c r="Z40" s="234"/>
      <c r="AA40" s="234"/>
      <c r="AB40" s="236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</row>
    <row r="41" spans="1:82" ht="15.75" x14ac:dyDescent="0.25">
      <c r="P41" s="131"/>
      <c r="Q41" s="131"/>
      <c r="R41" s="131"/>
      <c r="S41" s="131"/>
      <c r="T41" s="131"/>
      <c r="U41" s="131"/>
      <c r="V41" s="131"/>
      <c r="W41" s="237"/>
      <c r="X41" s="235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</row>
    <row r="42" spans="1:82" ht="15.75" x14ac:dyDescent="0.25">
      <c r="P42" s="131"/>
      <c r="Q42" s="131"/>
      <c r="R42" s="131"/>
      <c r="S42" s="131"/>
      <c r="T42" s="131"/>
      <c r="U42" s="131"/>
      <c r="V42" s="131"/>
      <c r="W42" s="237"/>
      <c r="X42" s="235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</row>
    <row r="43" spans="1:82" ht="15.75" x14ac:dyDescent="0.25">
      <c r="P43" s="131"/>
      <c r="Q43" s="131"/>
      <c r="R43" s="131"/>
      <c r="S43" s="131"/>
      <c r="T43" s="131"/>
      <c r="U43" s="131"/>
      <c r="V43" s="131"/>
      <c r="W43" s="237"/>
      <c r="X43" s="235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</row>
    <row r="44" spans="1:82" ht="15.75" x14ac:dyDescent="0.25">
      <c r="P44" s="131"/>
      <c r="Q44" s="131"/>
      <c r="R44" s="131"/>
      <c r="S44" s="131"/>
      <c r="T44" s="131"/>
      <c r="U44" s="131"/>
      <c r="V44" s="131"/>
      <c r="W44" s="237"/>
      <c r="X44" s="235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</row>
    <row r="45" spans="1:82" x14ac:dyDescent="0.25">
      <c r="P45" s="131"/>
      <c r="Q45" s="131"/>
      <c r="R45" s="131"/>
      <c r="S45" s="131"/>
      <c r="T45" s="131"/>
      <c r="U45" s="131"/>
      <c r="V45" s="131"/>
      <c r="W45" s="237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</row>
    <row r="46" spans="1:82" x14ac:dyDescent="0.25">
      <c r="P46" s="131"/>
      <c r="Q46" s="131"/>
      <c r="R46" s="131"/>
      <c r="S46" s="131"/>
      <c r="T46" s="131"/>
      <c r="U46" s="131"/>
      <c r="V46" s="131"/>
      <c r="W46" s="237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</row>
    <row r="47" spans="1:82" x14ac:dyDescent="0.25">
      <c r="P47" s="131"/>
      <c r="Q47" s="131"/>
      <c r="R47" s="131"/>
      <c r="S47" s="131"/>
      <c r="T47" s="131"/>
      <c r="U47" s="131"/>
      <c r="V47" s="131"/>
      <c r="W47" s="237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</row>
    <row r="48" spans="1:82" x14ac:dyDescent="0.25">
      <c r="P48" s="131"/>
      <c r="Q48" s="131"/>
      <c r="R48" s="131"/>
      <c r="S48" s="131"/>
      <c r="T48" s="131"/>
      <c r="U48" s="131"/>
      <c r="V48" s="131"/>
      <c r="W48" s="237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</row>
    <row r="49" spans="2:78" x14ac:dyDescent="0.25">
      <c r="P49" s="131"/>
      <c r="Q49" s="131"/>
      <c r="R49" s="131"/>
      <c r="S49" s="131"/>
      <c r="T49" s="131"/>
      <c r="U49" s="131"/>
      <c r="V49" s="131"/>
      <c r="W49" s="238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</row>
    <row r="50" spans="2:78" x14ac:dyDescent="0.25">
      <c r="P50" s="131"/>
      <c r="Q50" s="131"/>
      <c r="R50" s="131"/>
      <c r="S50" s="131"/>
      <c r="T50" s="131"/>
      <c r="U50" s="131"/>
      <c r="V50" s="131"/>
      <c r="W50" s="238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</row>
    <row r="51" spans="2:78" x14ac:dyDescent="0.25">
      <c r="P51" s="131"/>
      <c r="Q51" s="131"/>
      <c r="R51" s="131"/>
      <c r="S51" s="131"/>
      <c r="T51" s="131"/>
      <c r="U51" s="131"/>
      <c r="V51" s="131"/>
      <c r="W51" s="238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</row>
    <row r="52" spans="2:78" x14ac:dyDescent="0.25">
      <c r="W52" s="89"/>
    </row>
    <row r="53" spans="2:78" ht="15.75" x14ac:dyDescent="0.25">
      <c r="B53" s="3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2:78" ht="15.75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2:78" ht="15.75" x14ac:dyDescent="0.25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2:78" ht="15.75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2:78" x14ac:dyDescent="0.25">
      <c r="F57" s="3"/>
      <c r="G57" s="3"/>
      <c r="H57" s="3"/>
      <c r="I57" s="3"/>
      <c r="J57" s="3"/>
      <c r="K57" s="3"/>
      <c r="L57" s="3"/>
      <c r="M57" s="3"/>
      <c r="N57" s="3"/>
      <c r="O57" s="3"/>
    </row>
  </sheetData>
  <sheetProtection selectLockedCells="1"/>
  <mergeCells count="209">
    <mergeCell ref="BG30:BI30"/>
    <mergeCell ref="BJ30:BL30"/>
    <mergeCell ref="BA31:BC31"/>
    <mergeCell ref="BD31:BF31"/>
    <mergeCell ref="BG31:BI31"/>
    <mergeCell ref="BJ31:BL31"/>
    <mergeCell ref="BA35:BC35"/>
    <mergeCell ref="BD35:BF35"/>
    <mergeCell ref="BG35:BI35"/>
    <mergeCell ref="BJ35:BL35"/>
    <mergeCell ref="BP6:BR6"/>
    <mergeCell ref="BS6:BU6"/>
    <mergeCell ref="AU6:AW6"/>
    <mergeCell ref="AU7:AW7"/>
    <mergeCell ref="AX7:AZ7"/>
    <mergeCell ref="BM7:BO7"/>
    <mergeCell ref="BP7:BR7"/>
    <mergeCell ref="BS7:BU7"/>
    <mergeCell ref="BV7:BX7"/>
    <mergeCell ref="BA6:BC6"/>
    <mergeCell ref="BD6:BF6"/>
    <mergeCell ref="BG6:BI6"/>
    <mergeCell ref="BJ6:BL6"/>
    <mergeCell ref="BA7:BC7"/>
    <mergeCell ref="BD7:BF7"/>
    <mergeCell ref="BG7:BI7"/>
    <mergeCell ref="BJ7:BL7"/>
    <mergeCell ref="BY7:CA7"/>
    <mergeCell ref="BV30:BX30"/>
    <mergeCell ref="BY30:CA30"/>
    <mergeCell ref="AU35:AW35"/>
    <mergeCell ref="AX35:AZ35"/>
    <mergeCell ref="BM35:BO35"/>
    <mergeCell ref="BP35:BR35"/>
    <mergeCell ref="BS35:BU35"/>
    <mergeCell ref="BV35:BX35"/>
    <mergeCell ref="BY35:CA35"/>
    <mergeCell ref="AU30:AW30"/>
    <mergeCell ref="AX30:AZ30"/>
    <mergeCell ref="BM30:BO30"/>
    <mergeCell ref="BP30:BR30"/>
    <mergeCell ref="BS30:BU30"/>
    <mergeCell ref="AU31:AW31"/>
    <mergeCell ref="AX31:AZ31"/>
    <mergeCell ref="BM31:BO31"/>
    <mergeCell ref="BP31:BR31"/>
    <mergeCell ref="BS31:BU31"/>
    <mergeCell ref="BV31:BX31"/>
    <mergeCell ref="BY31:CA31"/>
    <mergeCell ref="BA30:BC30"/>
    <mergeCell ref="BD30:BF30"/>
    <mergeCell ref="BV5:BX5"/>
    <mergeCell ref="I1:K1"/>
    <mergeCell ref="BV6:BX6"/>
    <mergeCell ref="BY5:CA5"/>
    <mergeCell ref="BV3:BX3"/>
    <mergeCell ref="BY3:CA3"/>
    <mergeCell ref="AU4:AW4"/>
    <mergeCell ref="AX4:AZ4"/>
    <mergeCell ref="BM4:BO4"/>
    <mergeCell ref="BP4:BR4"/>
    <mergeCell ref="BS4:BU4"/>
    <mergeCell ref="BV4:BX4"/>
    <mergeCell ref="BY4:CA4"/>
    <mergeCell ref="AU3:AW3"/>
    <mergeCell ref="AX3:AZ3"/>
    <mergeCell ref="BM3:BO3"/>
    <mergeCell ref="BP3:BR3"/>
    <mergeCell ref="BS3:BU3"/>
    <mergeCell ref="AX5:AZ5"/>
    <mergeCell ref="AU5:AW5"/>
    <mergeCell ref="AI6:AK6"/>
    <mergeCell ref="BY6:CA6"/>
    <mergeCell ref="AX6:AZ6"/>
    <mergeCell ref="BM6:BO6"/>
    <mergeCell ref="AC5:AE5"/>
    <mergeCell ref="AF5:AH5"/>
    <mergeCell ref="AI5:AK5"/>
    <mergeCell ref="AL5:AN5"/>
    <mergeCell ref="AO5:AQ5"/>
    <mergeCell ref="AR5:AT5"/>
    <mergeCell ref="BM5:BO5"/>
    <mergeCell ref="BP5:BR5"/>
    <mergeCell ref="BS5:BU5"/>
    <mergeCell ref="BA5:BC5"/>
    <mergeCell ref="BD5:BF5"/>
    <mergeCell ref="BG5:BI5"/>
    <mergeCell ref="BJ5:BL5"/>
    <mergeCell ref="AF35:AH35"/>
    <mergeCell ref="AI35:AK35"/>
    <mergeCell ref="AL35:AN35"/>
    <mergeCell ref="AO35:AQ35"/>
    <mergeCell ref="AR35:AT35"/>
    <mergeCell ref="AF30:AH30"/>
    <mergeCell ref="AI30:AK30"/>
    <mergeCell ref="AL30:AN30"/>
    <mergeCell ref="AO30:AQ30"/>
    <mergeCell ref="AR30:AT30"/>
    <mergeCell ref="AF31:AH31"/>
    <mergeCell ref="AI31:AK31"/>
    <mergeCell ref="AL31:AN31"/>
    <mergeCell ref="AO31:AQ31"/>
    <mergeCell ref="AR31:AT31"/>
    <mergeCell ref="AF7:AH7"/>
    <mergeCell ref="AI7:AK7"/>
    <mergeCell ref="AL7:AN7"/>
    <mergeCell ref="AO7:AQ7"/>
    <mergeCell ref="AR7:AT7"/>
    <mergeCell ref="AF3:AH3"/>
    <mergeCell ref="AI3:AK3"/>
    <mergeCell ref="AL3:AN3"/>
    <mergeCell ref="AO3:AQ3"/>
    <mergeCell ref="AR3:AT3"/>
    <mergeCell ref="AF6:AH6"/>
    <mergeCell ref="AF4:AH4"/>
    <mergeCell ref="AI4:AK4"/>
    <mergeCell ref="AL4:AN4"/>
    <mergeCell ref="AO4:AQ4"/>
    <mergeCell ref="AR4:AT4"/>
    <mergeCell ref="AL6:AN6"/>
    <mergeCell ref="AO6:AQ6"/>
    <mergeCell ref="AR6:AT6"/>
    <mergeCell ref="Q35:S35"/>
    <mergeCell ref="T35:V35"/>
    <mergeCell ref="W35:Y35"/>
    <mergeCell ref="Z35:AB35"/>
    <mergeCell ref="AC35:AE35"/>
    <mergeCell ref="Q30:S30"/>
    <mergeCell ref="T30:V30"/>
    <mergeCell ref="W30:Y30"/>
    <mergeCell ref="Z30:AB30"/>
    <mergeCell ref="AC30:AE30"/>
    <mergeCell ref="Q31:S31"/>
    <mergeCell ref="T31:V31"/>
    <mergeCell ref="W31:Y31"/>
    <mergeCell ref="Z31:AB31"/>
    <mergeCell ref="AC31:AE31"/>
    <mergeCell ref="Q7:S7"/>
    <mergeCell ref="T7:V7"/>
    <mergeCell ref="W7:Y7"/>
    <mergeCell ref="Z7:AB7"/>
    <mergeCell ref="AC7:AE7"/>
    <mergeCell ref="Q3:S3"/>
    <mergeCell ref="T3:V3"/>
    <mergeCell ref="W3:Y3"/>
    <mergeCell ref="Z3:AB3"/>
    <mergeCell ref="AC3:AE3"/>
    <mergeCell ref="T6:V6"/>
    <mergeCell ref="W6:Y6"/>
    <mergeCell ref="Z6:AB6"/>
    <mergeCell ref="AC6:AE6"/>
    <mergeCell ref="Q5:S5"/>
    <mergeCell ref="Q6:S6"/>
    <mergeCell ref="Q4:S4"/>
    <mergeCell ref="T4:V4"/>
    <mergeCell ref="W4:Y4"/>
    <mergeCell ref="Z4:AB4"/>
    <mergeCell ref="AC4:AE4"/>
    <mergeCell ref="T5:V5"/>
    <mergeCell ref="W5:Y5"/>
    <mergeCell ref="Z5:AB5"/>
    <mergeCell ref="K7:M7"/>
    <mergeCell ref="K30:M30"/>
    <mergeCell ref="K35:M35"/>
    <mergeCell ref="N3:P3"/>
    <mergeCell ref="N7:P7"/>
    <mergeCell ref="N30:P30"/>
    <mergeCell ref="N35:P35"/>
    <mergeCell ref="K5:M5"/>
    <mergeCell ref="N5:P5"/>
    <mergeCell ref="K6:M6"/>
    <mergeCell ref="N6:P6"/>
    <mergeCell ref="K4:M4"/>
    <mergeCell ref="N4:P4"/>
    <mergeCell ref="K31:M31"/>
    <mergeCell ref="N31:P31"/>
    <mergeCell ref="H7:J7"/>
    <mergeCell ref="H30:J30"/>
    <mergeCell ref="H35:J35"/>
    <mergeCell ref="B3:D3"/>
    <mergeCell ref="B7:D7"/>
    <mergeCell ref="B30:D30"/>
    <mergeCell ref="B35:D35"/>
    <mergeCell ref="E3:G3"/>
    <mergeCell ref="E7:G7"/>
    <mergeCell ref="E30:G30"/>
    <mergeCell ref="E35:G35"/>
    <mergeCell ref="B5:D5"/>
    <mergeCell ref="B6:D6"/>
    <mergeCell ref="E5:G5"/>
    <mergeCell ref="H5:J5"/>
    <mergeCell ref="E6:G6"/>
    <mergeCell ref="H6:J6"/>
    <mergeCell ref="B4:D4"/>
    <mergeCell ref="E4:G4"/>
    <mergeCell ref="H4:J4"/>
    <mergeCell ref="B31:D31"/>
    <mergeCell ref="E31:G31"/>
    <mergeCell ref="H31:J31"/>
    <mergeCell ref="BA3:BC3"/>
    <mergeCell ref="BA4:BC4"/>
    <mergeCell ref="BD3:BF3"/>
    <mergeCell ref="BD4:BF4"/>
    <mergeCell ref="BG3:BI3"/>
    <mergeCell ref="BG4:BI4"/>
    <mergeCell ref="BJ3:BL3"/>
    <mergeCell ref="BJ4:BL4"/>
    <mergeCell ref="H3:J3"/>
    <mergeCell ref="K3:M3"/>
  </mergeCells>
  <conditionalFormatting sqref="AA39 X39:X44">
    <cfRule type="containsText" dxfId="328" priority="424" operator="containsText" text="Tote">
      <formula>NOT(ISERROR(SEARCH("Tote",X39)))</formula>
    </cfRule>
  </conditionalFormatting>
  <conditionalFormatting sqref="AD39">
    <cfRule type="containsText" dxfId="327" priority="389" operator="containsText" text="Tote">
      <formula>NOT(ISERROR(SEARCH("Tote",AD39)))</formula>
    </cfRule>
  </conditionalFormatting>
  <conditionalFormatting sqref="AG39">
    <cfRule type="containsText" dxfId="326" priority="382" operator="containsText" text="Tote">
      <formula>NOT(ISERROR(SEARCH("Tote",AG39)))</formula>
    </cfRule>
  </conditionalFormatting>
  <conditionalFormatting sqref="AJ39">
    <cfRule type="containsText" dxfId="325" priority="375" operator="containsText" text="Tote">
      <formula>NOT(ISERROR(SEARCH("Tote",AJ39)))</formula>
    </cfRule>
  </conditionalFormatting>
  <conditionalFormatting sqref="C27">
    <cfRule type="containsText" dxfId="324" priority="292" operator="containsText" text="Tote">
      <formula>NOT(ISERROR(SEARCH("Tote",C27)))</formula>
    </cfRule>
  </conditionalFormatting>
  <conditionalFormatting sqref="C27">
    <cfRule type="containsText" dxfId="323" priority="293" operator="containsText" text="Tote">
      <formula>NOT(ISERROR(SEARCH("Tote",C27)))</formula>
    </cfRule>
  </conditionalFormatting>
  <conditionalFormatting sqref="I27">
    <cfRule type="containsText" dxfId="322" priority="286" operator="containsText" text="Tote">
      <formula>NOT(ISERROR(SEARCH("Tote",I27)))</formula>
    </cfRule>
  </conditionalFormatting>
  <conditionalFormatting sqref="I26:I27">
    <cfRule type="containsText" dxfId="321" priority="287" operator="containsText" text="Tote">
      <formula>NOT(ISERROR(SEARCH("Tote",I26)))</formula>
    </cfRule>
  </conditionalFormatting>
  <conditionalFormatting sqref="L27">
    <cfRule type="containsText" dxfId="320" priority="283" operator="containsText" text="Tote">
      <formula>NOT(ISERROR(SEARCH("Tote",L27)))</formula>
    </cfRule>
  </conditionalFormatting>
  <conditionalFormatting sqref="L27">
    <cfRule type="containsText" dxfId="319" priority="284" operator="containsText" text="Tote">
      <formula>NOT(ISERROR(SEARCH("Tote",L27)))</formula>
    </cfRule>
  </conditionalFormatting>
  <conditionalFormatting sqref="J34">
    <cfRule type="containsText" dxfId="318" priority="261" operator="containsText" text="Draw">
      <formula>NOT(ISERROR(SEARCH("Draw",J34)))</formula>
    </cfRule>
    <cfRule type="containsText" dxfId="317" priority="262" operator="containsText" text="Loss">
      <formula>NOT(ISERROR(SEARCH("Loss",J34)))</formula>
    </cfRule>
    <cfRule type="containsText" dxfId="316" priority="263" operator="containsText" text="Win">
      <formula>NOT(ISERROR(SEARCH("Win",J34)))</formula>
    </cfRule>
  </conditionalFormatting>
  <conditionalFormatting sqref="G34">
    <cfRule type="containsText" dxfId="315" priority="243" operator="containsText" text="Draw">
      <formula>NOT(ISERROR(SEARCH("Draw",G34)))</formula>
    </cfRule>
    <cfRule type="containsText" dxfId="314" priority="244" operator="containsText" text="Loss">
      <formula>NOT(ISERROR(SEARCH("Loss",G34)))</formula>
    </cfRule>
    <cfRule type="containsText" dxfId="313" priority="245" operator="containsText" text="Win">
      <formula>NOT(ISERROR(SEARCH("Win",G34)))</formula>
    </cfRule>
  </conditionalFormatting>
  <conditionalFormatting sqref="D34">
    <cfRule type="containsText" dxfId="312" priority="240" operator="containsText" text="Draw">
      <formula>NOT(ISERROR(SEARCH("Draw",D34)))</formula>
    </cfRule>
    <cfRule type="containsText" dxfId="311" priority="241" operator="containsText" text="Loss">
      <formula>NOT(ISERROR(SEARCH("Loss",D34)))</formula>
    </cfRule>
    <cfRule type="containsText" dxfId="310" priority="242" operator="containsText" text="Win">
      <formula>NOT(ISERROR(SEARCH("Win",D34)))</formula>
    </cfRule>
  </conditionalFormatting>
  <conditionalFormatting sqref="M34">
    <cfRule type="containsText" dxfId="309" priority="237" operator="containsText" text="Draw">
      <formula>NOT(ISERROR(SEARCH("Draw",M34)))</formula>
    </cfRule>
    <cfRule type="containsText" dxfId="308" priority="238" operator="containsText" text="Loss">
      <formula>NOT(ISERROR(SEARCH("Loss",M34)))</formula>
    </cfRule>
    <cfRule type="containsText" dxfId="307" priority="239" operator="containsText" text="Win">
      <formula>NOT(ISERROR(SEARCH("Win",M34)))</formula>
    </cfRule>
  </conditionalFormatting>
  <conditionalFormatting sqref="V34">
    <cfRule type="containsText" dxfId="306" priority="234" operator="containsText" text="Draw">
      <formula>NOT(ISERROR(SEARCH("Draw",V34)))</formula>
    </cfRule>
    <cfRule type="containsText" dxfId="305" priority="235" operator="containsText" text="Loss">
      <formula>NOT(ISERROR(SEARCH("Loss",V34)))</formula>
    </cfRule>
    <cfRule type="containsText" dxfId="304" priority="236" operator="containsText" text="Win">
      <formula>NOT(ISERROR(SEARCH("Win",V34)))</formula>
    </cfRule>
  </conditionalFormatting>
  <conditionalFormatting sqref="S34">
    <cfRule type="containsText" dxfId="303" priority="231" operator="containsText" text="Draw">
      <formula>NOT(ISERROR(SEARCH("Draw",S34)))</formula>
    </cfRule>
    <cfRule type="containsText" dxfId="302" priority="232" operator="containsText" text="Loss">
      <formula>NOT(ISERROR(SEARCH("Loss",S34)))</formula>
    </cfRule>
    <cfRule type="containsText" dxfId="301" priority="233" operator="containsText" text="Win">
      <formula>NOT(ISERROR(SEARCH("Win",S34)))</formula>
    </cfRule>
  </conditionalFormatting>
  <conditionalFormatting sqref="P34">
    <cfRule type="containsText" dxfId="300" priority="228" operator="containsText" text="Draw">
      <formula>NOT(ISERROR(SEARCH("Draw",P34)))</formula>
    </cfRule>
    <cfRule type="containsText" dxfId="299" priority="229" operator="containsText" text="Loss">
      <formula>NOT(ISERROR(SEARCH("Loss",P34)))</formula>
    </cfRule>
    <cfRule type="containsText" dxfId="298" priority="230" operator="containsText" text="Win">
      <formula>NOT(ISERROR(SEARCH("Win",P34)))</formula>
    </cfRule>
  </conditionalFormatting>
  <conditionalFormatting sqref="Y34">
    <cfRule type="containsText" dxfId="297" priority="225" operator="containsText" text="Draw">
      <formula>NOT(ISERROR(SEARCH("Draw",Y34)))</formula>
    </cfRule>
    <cfRule type="containsText" dxfId="296" priority="226" operator="containsText" text="Loss">
      <formula>NOT(ISERROR(SEARCH("Loss",Y34)))</formula>
    </cfRule>
    <cfRule type="containsText" dxfId="295" priority="227" operator="containsText" text="Win">
      <formula>NOT(ISERROR(SEARCH("Win",Y34)))</formula>
    </cfRule>
  </conditionalFormatting>
  <conditionalFormatting sqref="AH34">
    <cfRule type="containsText" dxfId="294" priority="222" operator="containsText" text="Draw">
      <formula>NOT(ISERROR(SEARCH("Draw",AH34)))</formula>
    </cfRule>
    <cfRule type="containsText" dxfId="293" priority="223" operator="containsText" text="Loss">
      <formula>NOT(ISERROR(SEARCH("Loss",AH34)))</formula>
    </cfRule>
    <cfRule type="containsText" dxfId="292" priority="224" operator="containsText" text="Win">
      <formula>NOT(ISERROR(SEARCH("Win",AH34)))</formula>
    </cfRule>
  </conditionalFormatting>
  <conditionalFormatting sqref="AE34">
    <cfRule type="containsText" dxfId="291" priority="219" operator="containsText" text="Draw">
      <formula>NOT(ISERROR(SEARCH("Draw",AE34)))</formula>
    </cfRule>
    <cfRule type="containsText" dxfId="290" priority="220" operator="containsText" text="Loss">
      <formula>NOT(ISERROR(SEARCH("Loss",AE34)))</formula>
    </cfRule>
    <cfRule type="containsText" dxfId="289" priority="221" operator="containsText" text="Win">
      <formula>NOT(ISERROR(SEARCH("Win",AE34)))</formula>
    </cfRule>
  </conditionalFormatting>
  <conditionalFormatting sqref="AB34">
    <cfRule type="containsText" dxfId="288" priority="216" operator="containsText" text="Draw">
      <formula>NOT(ISERROR(SEARCH("Draw",AB34)))</formula>
    </cfRule>
    <cfRule type="containsText" dxfId="287" priority="217" operator="containsText" text="Loss">
      <formula>NOT(ISERROR(SEARCH("Loss",AB34)))</formula>
    </cfRule>
    <cfRule type="containsText" dxfId="286" priority="218" operator="containsText" text="Win">
      <formula>NOT(ISERROR(SEARCH("Win",AB34)))</formula>
    </cfRule>
  </conditionalFormatting>
  <conditionalFormatting sqref="AK34">
    <cfRule type="containsText" dxfId="285" priority="213" operator="containsText" text="Draw">
      <formula>NOT(ISERROR(SEARCH("Draw",AK34)))</formula>
    </cfRule>
    <cfRule type="containsText" dxfId="284" priority="214" operator="containsText" text="Loss">
      <formula>NOT(ISERROR(SEARCH("Loss",AK34)))</formula>
    </cfRule>
    <cfRule type="containsText" dxfId="283" priority="215" operator="containsText" text="Win">
      <formula>NOT(ISERROR(SEARCH("Win",AK34)))</formula>
    </cfRule>
  </conditionalFormatting>
  <conditionalFormatting sqref="AT34">
    <cfRule type="containsText" dxfId="282" priority="210" operator="containsText" text="Draw">
      <formula>NOT(ISERROR(SEARCH("Draw",AT34)))</formula>
    </cfRule>
    <cfRule type="containsText" dxfId="281" priority="211" operator="containsText" text="Loss">
      <formula>NOT(ISERROR(SEARCH("Loss",AT34)))</formula>
    </cfRule>
    <cfRule type="containsText" dxfId="280" priority="212" operator="containsText" text="Win">
      <formula>NOT(ISERROR(SEARCH("Win",AT34)))</formula>
    </cfRule>
  </conditionalFormatting>
  <conditionalFormatting sqref="AQ34">
    <cfRule type="containsText" dxfId="279" priority="207" operator="containsText" text="Draw">
      <formula>NOT(ISERROR(SEARCH("Draw",AQ34)))</formula>
    </cfRule>
    <cfRule type="containsText" dxfId="278" priority="208" operator="containsText" text="Loss">
      <formula>NOT(ISERROR(SEARCH("Loss",AQ34)))</formula>
    </cfRule>
    <cfRule type="containsText" dxfId="277" priority="209" operator="containsText" text="Win">
      <formula>NOT(ISERROR(SEARCH("Win",AQ34)))</formula>
    </cfRule>
  </conditionalFormatting>
  <conditionalFormatting sqref="AN34">
    <cfRule type="containsText" dxfId="276" priority="204" operator="containsText" text="Draw">
      <formula>NOT(ISERROR(SEARCH("Draw",AN34)))</formula>
    </cfRule>
    <cfRule type="containsText" dxfId="275" priority="205" operator="containsText" text="Loss">
      <formula>NOT(ISERROR(SEARCH("Loss",AN34)))</formula>
    </cfRule>
    <cfRule type="containsText" dxfId="274" priority="206" operator="containsText" text="Win">
      <formula>NOT(ISERROR(SEARCH("Win",AN34)))</formula>
    </cfRule>
  </conditionalFormatting>
  <conditionalFormatting sqref="AW34">
    <cfRule type="containsText" dxfId="273" priority="201" operator="containsText" text="Draw">
      <formula>NOT(ISERROR(SEARCH("Draw",AW34)))</formula>
    </cfRule>
    <cfRule type="containsText" dxfId="272" priority="202" operator="containsText" text="Loss">
      <formula>NOT(ISERROR(SEARCH("Loss",AW34)))</formula>
    </cfRule>
    <cfRule type="containsText" dxfId="271" priority="203" operator="containsText" text="Win">
      <formula>NOT(ISERROR(SEARCH("Win",AW34)))</formula>
    </cfRule>
  </conditionalFormatting>
  <conditionalFormatting sqref="BR34">
    <cfRule type="containsText" dxfId="270" priority="198" operator="containsText" text="Draw">
      <formula>NOT(ISERROR(SEARCH("Draw",BR34)))</formula>
    </cfRule>
    <cfRule type="containsText" dxfId="269" priority="199" operator="containsText" text="Loss">
      <formula>NOT(ISERROR(SEARCH("Loss",BR34)))</formula>
    </cfRule>
    <cfRule type="containsText" dxfId="268" priority="200" operator="containsText" text="Win">
      <formula>NOT(ISERROR(SEARCH("Win",BR34)))</formula>
    </cfRule>
  </conditionalFormatting>
  <conditionalFormatting sqref="BO34">
    <cfRule type="containsText" dxfId="267" priority="195" operator="containsText" text="Draw">
      <formula>NOT(ISERROR(SEARCH("Draw",BO34)))</formula>
    </cfRule>
    <cfRule type="containsText" dxfId="266" priority="196" operator="containsText" text="Loss">
      <formula>NOT(ISERROR(SEARCH("Loss",BO34)))</formula>
    </cfRule>
    <cfRule type="containsText" dxfId="265" priority="197" operator="containsText" text="Win">
      <formula>NOT(ISERROR(SEARCH("Win",BO34)))</formula>
    </cfRule>
  </conditionalFormatting>
  <conditionalFormatting sqref="AZ34">
    <cfRule type="containsText" dxfId="264" priority="192" operator="containsText" text="Draw">
      <formula>NOT(ISERROR(SEARCH("Draw",AZ34)))</formula>
    </cfRule>
    <cfRule type="containsText" dxfId="263" priority="193" operator="containsText" text="Loss">
      <formula>NOT(ISERROR(SEARCH("Loss",AZ34)))</formula>
    </cfRule>
    <cfRule type="containsText" dxfId="262" priority="194" operator="containsText" text="Win">
      <formula>NOT(ISERROR(SEARCH("Win",AZ34)))</formula>
    </cfRule>
  </conditionalFormatting>
  <conditionalFormatting sqref="BU34">
    <cfRule type="containsText" dxfId="261" priority="189" operator="containsText" text="Draw">
      <formula>NOT(ISERROR(SEARCH("Draw",BU34)))</formula>
    </cfRule>
    <cfRule type="containsText" dxfId="260" priority="190" operator="containsText" text="Loss">
      <formula>NOT(ISERROR(SEARCH("Loss",BU34)))</formula>
    </cfRule>
    <cfRule type="containsText" dxfId="259" priority="191" operator="containsText" text="Win">
      <formula>NOT(ISERROR(SEARCH("Win",BU34)))</formula>
    </cfRule>
  </conditionalFormatting>
  <conditionalFormatting sqref="BX34">
    <cfRule type="containsText" dxfId="258" priority="186" operator="containsText" text="Draw">
      <formula>NOT(ISERROR(SEARCH("Draw",BX34)))</formula>
    </cfRule>
    <cfRule type="containsText" dxfId="257" priority="187" operator="containsText" text="Loss">
      <formula>NOT(ISERROR(SEARCH("Loss",BX34)))</formula>
    </cfRule>
    <cfRule type="containsText" dxfId="256" priority="188" operator="containsText" text="Win">
      <formula>NOT(ISERROR(SEARCH("Win",BX34)))</formula>
    </cfRule>
  </conditionalFormatting>
  <conditionalFormatting sqref="CA34">
    <cfRule type="containsText" dxfId="255" priority="183" operator="containsText" text="Draw">
      <formula>NOT(ISERROR(SEARCH("Draw",CA34)))</formula>
    </cfRule>
    <cfRule type="containsText" dxfId="254" priority="184" operator="containsText" text="Loss">
      <formula>NOT(ISERROR(SEARCH("Loss",CA34)))</formula>
    </cfRule>
    <cfRule type="containsText" dxfId="253" priority="185" operator="containsText" text="Win">
      <formula>NOT(ISERROR(SEARCH("Win",CA34)))</formula>
    </cfRule>
  </conditionalFormatting>
  <conditionalFormatting sqref="I11:I22 I24:I25">
    <cfRule type="containsText" dxfId="252" priority="182" operator="containsText" text="Tote">
      <formula>NOT(ISERROR(SEARCH("Tote",I11)))</formula>
    </cfRule>
  </conditionalFormatting>
  <conditionalFormatting sqref="I22 I24">
    <cfRule type="containsText" dxfId="251" priority="181" operator="containsText" text="Tote">
      <formula>NOT(ISERROR(SEARCH("Tote",I22)))</formula>
    </cfRule>
  </conditionalFormatting>
  <conditionalFormatting sqref="C26">
    <cfRule type="containsText" dxfId="250" priority="177" operator="containsText" text="Tote">
      <formula>NOT(ISERROR(SEARCH("Tote",C26)))</formula>
    </cfRule>
  </conditionalFormatting>
  <conditionalFormatting sqref="C11:C22 C24:C25">
    <cfRule type="containsText" dxfId="249" priority="176" operator="containsText" text="Tote">
      <formula>NOT(ISERROR(SEARCH("Tote",C11)))</formula>
    </cfRule>
  </conditionalFormatting>
  <conditionalFormatting sqref="C22 C24">
    <cfRule type="containsText" dxfId="248" priority="175" operator="containsText" text="Tote">
      <formula>NOT(ISERROR(SEARCH("Tote",C22)))</formula>
    </cfRule>
  </conditionalFormatting>
  <conditionalFormatting sqref="L26">
    <cfRule type="containsText" dxfId="247" priority="174" operator="containsText" text="Tote">
      <formula>NOT(ISERROR(SEARCH("Tote",L26)))</formula>
    </cfRule>
  </conditionalFormatting>
  <conditionalFormatting sqref="L11:L22 L24:L25">
    <cfRule type="containsText" dxfId="246" priority="173" operator="containsText" text="Tote">
      <formula>NOT(ISERROR(SEARCH("Tote",L11)))</formula>
    </cfRule>
  </conditionalFormatting>
  <conditionalFormatting sqref="L22 L24">
    <cfRule type="containsText" dxfId="245" priority="172" operator="containsText" text="Tote">
      <formula>NOT(ISERROR(SEARCH("Tote",L22)))</formula>
    </cfRule>
  </conditionalFormatting>
  <conditionalFormatting sqref="F27">
    <cfRule type="containsText" dxfId="244" priority="164" operator="containsText" text="Tote">
      <formula>NOT(ISERROR(SEARCH("Tote",F27)))</formula>
    </cfRule>
  </conditionalFormatting>
  <conditionalFormatting sqref="F26:F27">
    <cfRule type="containsText" dxfId="243" priority="165" operator="containsText" text="Tote">
      <formula>NOT(ISERROR(SEARCH("Tote",F26)))</formula>
    </cfRule>
  </conditionalFormatting>
  <conditionalFormatting sqref="F11:F22 F24:F25">
    <cfRule type="containsText" dxfId="242" priority="163" operator="containsText" text="Tote">
      <formula>NOT(ISERROR(SEARCH("Tote",F11)))</formula>
    </cfRule>
  </conditionalFormatting>
  <conditionalFormatting sqref="F22 F24">
    <cfRule type="containsText" dxfId="241" priority="162" operator="containsText" text="Tote">
      <formula>NOT(ISERROR(SEARCH("Tote",F22)))</formula>
    </cfRule>
  </conditionalFormatting>
  <conditionalFormatting sqref="O27">
    <cfRule type="containsText" dxfId="240" priority="159" operator="containsText" text="Tote">
      <formula>NOT(ISERROR(SEARCH("Tote",O27)))</formula>
    </cfRule>
  </conditionalFormatting>
  <conditionalFormatting sqref="O27">
    <cfRule type="containsText" dxfId="239" priority="160" operator="containsText" text="Tote">
      <formula>NOT(ISERROR(SEARCH("Tote",O27)))</formula>
    </cfRule>
  </conditionalFormatting>
  <conditionalFormatting sqref="O26">
    <cfRule type="containsText" dxfId="238" priority="158" operator="containsText" text="Tote">
      <formula>NOT(ISERROR(SEARCH("Tote",O26)))</formula>
    </cfRule>
  </conditionalFormatting>
  <conditionalFormatting sqref="O11:O22 O24:O25">
    <cfRule type="containsText" dxfId="237" priority="157" operator="containsText" text="Tote">
      <formula>NOT(ISERROR(SEARCH("Tote",O11)))</formula>
    </cfRule>
  </conditionalFormatting>
  <conditionalFormatting sqref="O22 O24">
    <cfRule type="containsText" dxfId="236" priority="156" operator="containsText" text="Tote">
      <formula>NOT(ISERROR(SEARCH("Tote",O22)))</formula>
    </cfRule>
  </conditionalFormatting>
  <conditionalFormatting sqref="R27">
    <cfRule type="containsText" dxfId="235" priority="154" operator="containsText" text="Tote">
      <formula>NOT(ISERROR(SEARCH("Tote",R27)))</formula>
    </cfRule>
  </conditionalFormatting>
  <conditionalFormatting sqref="R27">
    <cfRule type="containsText" dxfId="234" priority="155" operator="containsText" text="Tote">
      <formula>NOT(ISERROR(SEARCH("Tote",R27)))</formula>
    </cfRule>
  </conditionalFormatting>
  <conditionalFormatting sqref="R26">
    <cfRule type="containsText" dxfId="233" priority="153" operator="containsText" text="Tote">
      <formula>NOT(ISERROR(SEARCH("Tote",R26)))</formula>
    </cfRule>
  </conditionalFormatting>
  <conditionalFormatting sqref="R11:R22 R24:R25">
    <cfRule type="containsText" dxfId="232" priority="152" operator="containsText" text="Tote">
      <formula>NOT(ISERROR(SEARCH("Tote",R11)))</formula>
    </cfRule>
  </conditionalFormatting>
  <conditionalFormatting sqref="R22 R24">
    <cfRule type="containsText" dxfId="231" priority="151" operator="containsText" text="Tote">
      <formula>NOT(ISERROR(SEARCH("Tote",R22)))</formula>
    </cfRule>
  </conditionalFormatting>
  <conditionalFormatting sqref="U27">
    <cfRule type="containsText" dxfId="230" priority="149" operator="containsText" text="Tote">
      <formula>NOT(ISERROR(SEARCH("Tote",U27)))</formula>
    </cfRule>
  </conditionalFormatting>
  <conditionalFormatting sqref="U27">
    <cfRule type="containsText" dxfId="229" priority="150" operator="containsText" text="Tote">
      <formula>NOT(ISERROR(SEARCH("Tote",U27)))</formula>
    </cfRule>
  </conditionalFormatting>
  <conditionalFormatting sqref="U26">
    <cfRule type="containsText" dxfId="228" priority="148" operator="containsText" text="Tote">
      <formula>NOT(ISERROR(SEARCH("Tote",U26)))</formula>
    </cfRule>
  </conditionalFormatting>
  <conditionalFormatting sqref="U21:U22 U24:U25">
    <cfRule type="containsText" dxfId="227" priority="147" operator="containsText" text="Tote">
      <formula>NOT(ISERROR(SEARCH("Tote",U21)))</formula>
    </cfRule>
  </conditionalFormatting>
  <conditionalFormatting sqref="U22 U24">
    <cfRule type="containsText" dxfId="226" priority="146" operator="containsText" text="Tote">
      <formula>NOT(ISERROR(SEARCH("Tote",U22)))</formula>
    </cfRule>
  </conditionalFormatting>
  <conditionalFormatting sqref="X27">
    <cfRule type="containsText" dxfId="225" priority="144" operator="containsText" text="Tote">
      <formula>NOT(ISERROR(SEARCH("Tote",X27)))</formula>
    </cfRule>
  </conditionalFormatting>
  <conditionalFormatting sqref="X27">
    <cfRule type="containsText" dxfId="224" priority="145" operator="containsText" text="Tote">
      <formula>NOT(ISERROR(SEARCH("Tote",X27)))</formula>
    </cfRule>
  </conditionalFormatting>
  <conditionalFormatting sqref="X26">
    <cfRule type="containsText" dxfId="223" priority="143" operator="containsText" text="Tote">
      <formula>NOT(ISERROR(SEARCH("Tote",X26)))</formula>
    </cfRule>
  </conditionalFormatting>
  <conditionalFormatting sqref="X11:X22 X24:X25">
    <cfRule type="containsText" dxfId="222" priority="142" operator="containsText" text="Tote">
      <formula>NOT(ISERROR(SEARCH("Tote",X11)))</formula>
    </cfRule>
  </conditionalFormatting>
  <conditionalFormatting sqref="X22 X24">
    <cfRule type="containsText" dxfId="221" priority="141" operator="containsText" text="Tote">
      <formula>NOT(ISERROR(SEARCH("Tote",X22)))</formula>
    </cfRule>
  </conditionalFormatting>
  <conditionalFormatting sqref="AA27">
    <cfRule type="containsText" dxfId="220" priority="139" operator="containsText" text="Tote">
      <formula>NOT(ISERROR(SEARCH("Tote",AA27)))</formula>
    </cfRule>
  </conditionalFormatting>
  <conditionalFormatting sqref="AA27">
    <cfRule type="containsText" dxfId="219" priority="140" operator="containsText" text="Tote">
      <formula>NOT(ISERROR(SEARCH("Tote",AA27)))</formula>
    </cfRule>
  </conditionalFormatting>
  <conditionalFormatting sqref="AA26">
    <cfRule type="containsText" dxfId="218" priority="138" operator="containsText" text="Tote">
      <formula>NOT(ISERROR(SEARCH("Tote",AA26)))</formula>
    </cfRule>
  </conditionalFormatting>
  <conditionalFormatting sqref="AA11:AA22 AA24:AA25">
    <cfRule type="containsText" dxfId="217" priority="137" operator="containsText" text="Tote">
      <formula>NOT(ISERROR(SEARCH("Tote",AA11)))</formula>
    </cfRule>
  </conditionalFormatting>
  <conditionalFormatting sqref="AA22 AA24">
    <cfRule type="containsText" dxfId="216" priority="136" operator="containsText" text="Tote">
      <formula>NOT(ISERROR(SEARCH("Tote",AA22)))</formula>
    </cfRule>
  </conditionalFormatting>
  <conditionalFormatting sqref="AD27">
    <cfRule type="containsText" dxfId="215" priority="134" operator="containsText" text="Tote">
      <formula>NOT(ISERROR(SEARCH("Tote",AD27)))</formula>
    </cfRule>
  </conditionalFormatting>
  <conditionalFormatting sqref="AD27">
    <cfRule type="containsText" dxfId="214" priority="135" operator="containsText" text="Tote">
      <formula>NOT(ISERROR(SEARCH("Tote",AD27)))</formula>
    </cfRule>
  </conditionalFormatting>
  <conditionalFormatting sqref="AD26">
    <cfRule type="containsText" dxfId="213" priority="133" operator="containsText" text="Tote">
      <formula>NOT(ISERROR(SEARCH("Tote",AD26)))</formula>
    </cfRule>
  </conditionalFormatting>
  <conditionalFormatting sqref="AD11:AD22 AD24:AD25">
    <cfRule type="containsText" dxfId="212" priority="132" operator="containsText" text="Tote">
      <formula>NOT(ISERROR(SEARCH("Tote",AD11)))</formula>
    </cfRule>
  </conditionalFormatting>
  <conditionalFormatting sqref="AD22 AD24">
    <cfRule type="containsText" dxfId="211" priority="131" operator="containsText" text="Tote">
      <formula>NOT(ISERROR(SEARCH("Tote",AD22)))</formula>
    </cfRule>
  </conditionalFormatting>
  <conditionalFormatting sqref="AG27">
    <cfRule type="containsText" dxfId="210" priority="129" operator="containsText" text="Tote">
      <formula>NOT(ISERROR(SEARCH("Tote",AG27)))</formula>
    </cfRule>
  </conditionalFormatting>
  <conditionalFormatting sqref="AG27">
    <cfRule type="containsText" dxfId="209" priority="130" operator="containsText" text="Tote">
      <formula>NOT(ISERROR(SEARCH("Tote",AG27)))</formula>
    </cfRule>
  </conditionalFormatting>
  <conditionalFormatting sqref="AG26">
    <cfRule type="containsText" dxfId="208" priority="128" operator="containsText" text="Tote">
      <formula>NOT(ISERROR(SEARCH("Tote",AG26)))</formula>
    </cfRule>
  </conditionalFormatting>
  <conditionalFormatting sqref="AG11:AG22 AG24:AG25">
    <cfRule type="containsText" dxfId="207" priority="127" operator="containsText" text="Tote">
      <formula>NOT(ISERROR(SEARCH("Tote",AG11)))</formula>
    </cfRule>
  </conditionalFormatting>
  <conditionalFormatting sqref="AG22 AG24">
    <cfRule type="containsText" dxfId="206" priority="126" operator="containsText" text="Tote">
      <formula>NOT(ISERROR(SEARCH("Tote",AG22)))</formula>
    </cfRule>
  </conditionalFormatting>
  <conditionalFormatting sqref="AM27">
    <cfRule type="containsText" dxfId="205" priority="119" operator="containsText" text="Tote">
      <formula>NOT(ISERROR(SEARCH("Tote",AM27)))</formula>
    </cfRule>
  </conditionalFormatting>
  <conditionalFormatting sqref="AM27">
    <cfRule type="containsText" dxfId="204" priority="120" operator="containsText" text="Tote">
      <formula>NOT(ISERROR(SEARCH("Tote",AM27)))</formula>
    </cfRule>
  </conditionalFormatting>
  <conditionalFormatting sqref="AM26">
    <cfRule type="containsText" dxfId="203" priority="118" operator="containsText" text="Tote">
      <formula>NOT(ISERROR(SEARCH("Tote",AM26)))</formula>
    </cfRule>
  </conditionalFormatting>
  <conditionalFormatting sqref="AM11:AM22 AM24:AM25">
    <cfRule type="containsText" dxfId="202" priority="117" operator="containsText" text="Tote">
      <formula>NOT(ISERROR(SEARCH("Tote",AM11)))</formula>
    </cfRule>
  </conditionalFormatting>
  <conditionalFormatting sqref="AM22 AM24">
    <cfRule type="containsText" dxfId="201" priority="116" operator="containsText" text="Tote">
      <formula>NOT(ISERROR(SEARCH("Tote",AM22)))</formula>
    </cfRule>
  </conditionalFormatting>
  <conditionalFormatting sqref="AP27">
    <cfRule type="containsText" dxfId="200" priority="114" operator="containsText" text="Tote">
      <formula>NOT(ISERROR(SEARCH("Tote",AP27)))</formula>
    </cfRule>
  </conditionalFormatting>
  <conditionalFormatting sqref="AP27">
    <cfRule type="containsText" dxfId="199" priority="115" operator="containsText" text="Tote">
      <formula>NOT(ISERROR(SEARCH("Tote",AP27)))</formula>
    </cfRule>
  </conditionalFormatting>
  <conditionalFormatting sqref="AP26">
    <cfRule type="containsText" dxfId="198" priority="113" operator="containsText" text="Tote">
      <formula>NOT(ISERROR(SEARCH("Tote",AP26)))</formula>
    </cfRule>
  </conditionalFormatting>
  <conditionalFormatting sqref="AP11:AP22 AP25">
    <cfRule type="containsText" dxfId="197" priority="112" operator="containsText" text="Tote">
      <formula>NOT(ISERROR(SEARCH("Tote",AP11)))</formula>
    </cfRule>
  </conditionalFormatting>
  <conditionalFormatting sqref="AP22">
    <cfRule type="containsText" dxfId="196" priority="111" operator="containsText" text="Tote">
      <formula>NOT(ISERROR(SEARCH("Tote",AP22)))</formula>
    </cfRule>
  </conditionalFormatting>
  <conditionalFormatting sqref="AS27">
    <cfRule type="containsText" dxfId="195" priority="109" operator="containsText" text="Tote">
      <formula>NOT(ISERROR(SEARCH("Tote",AS27)))</formula>
    </cfRule>
  </conditionalFormatting>
  <conditionalFormatting sqref="AS27">
    <cfRule type="containsText" dxfId="194" priority="110" operator="containsText" text="Tote">
      <formula>NOT(ISERROR(SEARCH("Tote",AS27)))</formula>
    </cfRule>
  </conditionalFormatting>
  <conditionalFormatting sqref="AS26">
    <cfRule type="containsText" dxfId="193" priority="108" operator="containsText" text="Tote">
      <formula>NOT(ISERROR(SEARCH("Tote",AS26)))</formula>
    </cfRule>
  </conditionalFormatting>
  <conditionalFormatting sqref="AS11:AS22 AS24:AS25">
    <cfRule type="containsText" dxfId="192" priority="107" operator="containsText" text="Tote">
      <formula>NOT(ISERROR(SEARCH("Tote",AS11)))</formula>
    </cfRule>
  </conditionalFormatting>
  <conditionalFormatting sqref="AS22 AS24">
    <cfRule type="containsText" dxfId="191" priority="106" operator="containsText" text="Tote">
      <formula>NOT(ISERROR(SEARCH("Tote",AS22)))</formula>
    </cfRule>
  </conditionalFormatting>
  <conditionalFormatting sqref="AV27">
    <cfRule type="containsText" dxfId="190" priority="104" operator="containsText" text="Tote">
      <formula>NOT(ISERROR(SEARCH("Tote",AV27)))</formula>
    </cfRule>
  </conditionalFormatting>
  <conditionalFormatting sqref="AV27">
    <cfRule type="containsText" dxfId="189" priority="105" operator="containsText" text="Tote">
      <formula>NOT(ISERROR(SEARCH("Tote",AV27)))</formula>
    </cfRule>
  </conditionalFormatting>
  <conditionalFormatting sqref="AV26">
    <cfRule type="containsText" dxfId="188" priority="103" operator="containsText" text="Tote">
      <formula>NOT(ISERROR(SEARCH("Tote",AV26)))</formula>
    </cfRule>
  </conditionalFormatting>
  <conditionalFormatting sqref="AV11:AV22 AV24:AV25">
    <cfRule type="containsText" dxfId="187" priority="102" operator="containsText" text="Tote">
      <formula>NOT(ISERROR(SEARCH("Tote",AV11)))</formula>
    </cfRule>
  </conditionalFormatting>
  <conditionalFormatting sqref="AV22 AV24">
    <cfRule type="containsText" dxfId="186" priority="101" operator="containsText" text="Tote">
      <formula>NOT(ISERROR(SEARCH("Tote",AV22)))</formula>
    </cfRule>
  </conditionalFormatting>
  <conditionalFormatting sqref="AY27">
    <cfRule type="containsText" dxfId="185" priority="99" operator="containsText" text="Tote">
      <formula>NOT(ISERROR(SEARCH("Tote",AY27)))</formula>
    </cfRule>
  </conditionalFormatting>
  <conditionalFormatting sqref="AY27">
    <cfRule type="containsText" dxfId="184" priority="100" operator="containsText" text="Tote">
      <formula>NOT(ISERROR(SEARCH("Tote",AY27)))</formula>
    </cfRule>
  </conditionalFormatting>
  <conditionalFormatting sqref="AY26">
    <cfRule type="containsText" dxfId="183" priority="98" operator="containsText" text="Tote">
      <formula>NOT(ISERROR(SEARCH("Tote",AY26)))</formula>
    </cfRule>
  </conditionalFormatting>
  <conditionalFormatting sqref="AY11:AY22 AY24:AY25">
    <cfRule type="containsText" dxfId="182" priority="97" operator="containsText" text="Tote">
      <formula>NOT(ISERROR(SEARCH("Tote",AY11)))</formula>
    </cfRule>
  </conditionalFormatting>
  <conditionalFormatting sqref="AY22 AY24">
    <cfRule type="containsText" dxfId="181" priority="96" operator="containsText" text="Tote">
      <formula>NOT(ISERROR(SEARCH("Tote",AY22)))</formula>
    </cfRule>
  </conditionalFormatting>
  <conditionalFormatting sqref="BN27">
    <cfRule type="containsText" dxfId="180" priority="94" operator="containsText" text="Tote">
      <formula>NOT(ISERROR(SEARCH("Tote",BN27)))</formula>
    </cfRule>
  </conditionalFormatting>
  <conditionalFormatting sqref="BN27">
    <cfRule type="containsText" dxfId="179" priority="95" operator="containsText" text="Tote">
      <formula>NOT(ISERROR(SEARCH("Tote",BN27)))</formula>
    </cfRule>
  </conditionalFormatting>
  <conditionalFormatting sqref="BN26">
    <cfRule type="containsText" dxfId="178" priority="93" operator="containsText" text="Tote">
      <formula>NOT(ISERROR(SEARCH("Tote",BN26)))</formula>
    </cfRule>
  </conditionalFormatting>
  <conditionalFormatting sqref="BN11:BN22 BN24:BN25">
    <cfRule type="containsText" dxfId="177" priority="92" operator="containsText" text="Tote">
      <formula>NOT(ISERROR(SEARCH("Tote",BN11)))</formula>
    </cfRule>
  </conditionalFormatting>
  <conditionalFormatting sqref="BN22 BN24">
    <cfRule type="containsText" dxfId="176" priority="91" operator="containsText" text="Tote">
      <formula>NOT(ISERROR(SEARCH("Tote",BN22)))</formula>
    </cfRule>
  </conditionalFormatting>
  <conditionalFormatting sqref="BQ27">
    <cfRule type="containsText" dxfId="175" priority="89" operator="containsText" text="Tote">
      <formula>NOT(ISERROR(SEARCH("Tote",BQ27)))</formula>
    </cfRule>
  </conditionalFormatting>
  <conditionalFormatting sqref="BQ27">
    <cfRule type="containsText" dxfId="174" priority="90" operator="containsText" text="Tote">
      <formula>NOT(ISERROR(SEARCH("Tote",BQ27)))</formula>
    </cfRule>
  </conditionalFormatting>
  <conditionalFormatting sqref="BQ26">
    <cfRule type="containsText" dxfId="173" priority="88" operator="containsText" text="Tote">
      <formula>NOT(ISERROR(SEARCH("Tote",BQ26)))</formula>
    </cfRule>
  </conditionalFormatting>
  <conditionalFormatting sqref="BQ11:BQ22 BQ24:BQ25">
    <cfRule type="containsText" dxfId="172" priority="87" operator="containsText" text="Tote">
      <formula>NOT(ISERROR(SEARCH("Tote",BQ11)))</formula>
    </cfRule>
  </conditionalFormatting>
  <conditionalFormatting sqref="BQ22 BQ24">
    <cfRule type="containsText" dxfId="171" priority="86" operator="containsText" text="Tote">
      <formula>NOT(ISERROR(SEARCH("Tote",BQ22)))</formula>
    </cfRule>
  </conditionalFormatting>
  <conditionalFormatting sqref="BT27">
    <cfRule type="containsText" dxfId="170" priority="84" operator="containsText" text="Tote">
      <formula>NOT(ISERROR(SEARCH("Tote",BT27)))</formula>
    </cfRule>
  </conditionalFormatting>
  <conditionalFormatting sqref="BT27">
    <cfRule type="containsText" dxfId="169" priority="85" operator="containsText" text="Tote">
      <formula>NOT(ISERROR(SEARCH("Tote",BT27)))</formula>
    </cfRule>
  </conditionalFormatting>
  <conditionalFormatting sqref="BT26">
    <cfRule type="containsText" dxfId="168" priority="83" operator="containsText" text="Tote">
      <formula>NOT(ISERROR(SEARCH("Tote",BT26)))</formula>
    </cfRule>
  </conditionalFormatting>
  <conditionalFormatting sqref="BT11:BT22 BT24:BT25">
    <cfRule type="containsText" dxfId="167" priority="82" operator="containsText" text="Tote">
      <formula>NOT(ISERROR(SEARCH("Tote",BT11)))</formula>
    </cfRule>
  </conditionalFormatting>
  <conditionalFormatting sqref="BT22 BT24">
    <cfRule type="containsText" dxfId="166" priority="81" operator="containsText" text="Tote">
      <formula>NOT(ISERROR(SEARCH("Tote",BT22)))</formula>
    </cfRule>
  </conditionalFormatting>
  <conditionalFormatting sqref="BW27">
    <cfRule type="containsText" dxfId="165" priority="79" operator="containsText" text="Tote">
      <formula>NOT(ISERROR(SEARCH("Tote",BW27)))</formula>
    </cfRule>
  </conditionalFormatting>
  <conditionalFormatting sqref="BW27">
    <cfRule type="containsText" dxfId="164" priority="80" operator="containsText" text="Tote">
      <formula>NOT(ISERROR(SEARCH("Tote",BW27)))</formula>
    </cfRule>
  </conditionalFormatting>
  <conditionalFormatting sqref="BW26">
    <cfRule type="containsText" dxfId="163" priority="78" operator="containsText" text="Tote">
      <formula>NOT(ISERROR(SEARCH("Tote",BW26)))</formula>
    </cfRule>
  </conditionalFormatting>
  <conditionalFormatting sqref="BW11:BW22 BW24:BW25">
    <cfRule type="containsText" dxfId="162" priority="77" operator="containsText" text="Tote">
      <formula>NOT(ISERROR(SEARCH("Tote",BW11)))</formula>
    </cfRule>
  </conditionalFormatting>
  <conditionalFormatting sqref="BW22 BW24">
    <cfRule type="containsText" dxfId="161" priority="76" operator="containsText" text="Tote">
      <formula>NOT(ISERROR(SEARCH("Tote",BW22)))</formula>
    </cfRule>
  </conditionalFormatting>
  <conditionalFormatting sqref="BZ27">
    <cfRule type="containsText" dxfId="160" priority="74" operator="containsText" text="Tote">
      <formula>NOT(ISERROR(SEARCH("Tote",BZ27)))</formula>
    </cfRule>
  </conditionalFormatting>
  <conditionalFormatting sqref="BZ27">
    <cfRule type="containsText" dxfId="159" priority="75" operator="containsText" text="Tote">
      <formula>NOT(ISERROR(SEARCH("Tote",BZ27)))</formula>
    </cfRule>
  </conditionalFormatting>
  <conditionalFormatting sqref="BZ26">
    <cfRule type="containsText" dxfId="158" priority="73" operator="containsText" text="Tote">
      <formula>NOT(ISERROR(SEARCH("Tote",BZ26)))</formula>
    </cfRule>
  </conditionalFormatting>
  <conditionalFormatting sqref="BZ11:BZ22 BZ24:BZ25">
    <cfRule type="containsText" dxfId="157" priority="72" operator="containsText" text="Tote">
      <formula>NOT(ISERROR(SEARCH("Tote",BZ11)))</formula>
    </cfRule>
  </conditionalFormatting>
  <conditionalFormatting sqref="BZ22 BZ24">
    <cfRule type="containsText" dxfId="156" priority="71" operator="containsText" text="Tote">
      <formula>NOT(ISERROR(SEARCH("Tote",BZ22)))</formula>
    </cfRule>
  </conditionalFormatting>
  <conditionalFormatting sqref="AJ27">
    <cfRule type="containsText" dxfId="155" priority="69" operator="containsText" text="Tote">
      <formula>NOT(ISERROR(SEARCH("Tote",AJ27)))</formula>
    </cfRule>
  </conditionalFormatting>
  <conditionalFormatting sqref="AJ27">
    <cfRule type="containsText" dxfId="154" priority="70" operator="containsText" text="Tote">
      <formula>NOT(ISERROR(SEARCH("Tote",AJ27)))</formula>
    </cfRule>
  </conditionalFormatting>
  <conditionalFormatting sqref="AJ26">
    <cfRule type="containsText" dxfId="153" priority="68" operator="containsText" text="Tote">
      <formula>NOT(ISERROR(SEARCH("Tote",AJ26)))</formula>
    </cfRule>
  </conditionalFormatting>
  <conditionalFormatting sqref="AJ11:AJ22 AJ24:AJ25">
    <cfRule type="containsText" dxfId="152" priority="67" operator="containsText" text="Tote">
      <formula>NOT(ISERROR(SEARCH("Tote",AJ11)))</formula>
    </cfRule>
  </conditionalFormatting>
  <conditionalFormatting sqref="AJ22 AJ24">
    <cfRule type="containsText" dxfId="151" priority="66" operator="containsText" text="Tote">
      <formula>NOT(ISERROR(SEARCH("Tote",AJ22)))</formula>
    </cfRule>
  </conditionalFormatting>
  <conditionalFormatting sqref="U11:U20">
    <cfRule type="containsText" dxfId="150" priority="65" operator="containsText" text="Tote">
      <formula>NOT(ISERROR(SEARCH("Tote",U11)))</formula>
    </cfRule>
  </conditionalFormatting>
  <conditionalFormatting sqref="I23">
    <cfRule type="containsText" dxfId="149" priority="64" operator="containsText" text="Tote">
      <formula>NOT(ISERROR(SEARCH("Tote",I23)))</formula>
    </cfRule>
  </conditionalFormatting>
  <conditionalFormatting sqref="C23">
    <cfRule type="containsText" dxfId="148" priority="63" operator="containsText" text="Tote">
      <formula>NOT(ISERROR(SEARCH("Tote",C23)))</formula>
    </cfRule>
  </conditionalFormatting>
  <conditionalFormatting sqref="L23">
    <cfRule type="containsText" dxfId="147" priority="62" operator="containsText" text="Tote">
      <formula>NOT(ISERROR(SEARCH("Tote",L23)))</formula>
    </cfRule>
  </conditionalFormatting>
  <conditionalFormatting sqref="F23">
    <cfRule type="containsText" dxfId="146" priority="61" operator="containsText" text="Tote">
      <formula>NOT(ISERROR(SEARCH("Tote",F23)))</formula>
    </cfRule>
  </conditionalFormatting>
  <conditionalFormatting sqref="O23">
    <cfRule type="containsText" dxfId="145" priority="60" operator="containsText" text="Tote">
      <formula>NOT(ISERROR(SEARCH("Tote",O23)))</formula>
    </cfRule>
  </conditionalFormatting>
  <conditionalFormatting sqref="R23">
    <cfRule type="containsText" dxfId="144" priority="59" operator="containsText" text="Tote">
      <formula>NOT(ISERROR(SEARCH("Tote",R23)))</formula>
    </cfRule>
  </conditionalFormatting>
  <conditionalFormatting sqref="U23">
    <cfRule type="containsText" dxfId="143" priority="58" operator="containsText" text="Tote">
      <formula>NOT(ISERROR(SEARCH("Tote",U23)))</formula>
    </cfRule>
  </conditionalFormatting>
  <conditionalFormatting sqref="X23">
    <cfRule type="containsText" dxfId="142" priority="57" operator="containsText" text="Tote">
      <formula>NOT(ISERROR(SEARCH("Tote",X23)))</formula>
    </cfRule>
  </conditionalFormatting>
  <conditionalFormatting sqref="AA23">
    <cfRule type="containsText" dxfId="141" priority="56" operator="containsText" text="Tote">
      <formula>NOT(ISERROR(SEARCH("Tote",AA23)))</formula>
    </cfRule>
  </conditionalFormatting>
  <conditionalFormatting sqref="AD23">
    <cfRule type="containsText" dxfId="140" priority="55" operator="containsText" text="Tote">
      <formula>NOT(ISERROR(SEARCH("Tote",AD23)))</formula>
    </cfRule>
  </conditionalFormatting>
  <conditionalFormatting sqref="AG23">
    <cfRule type="containsText" dxfId="139" priority="54" operator="containsText" text="Tote">
      <formula>NOT(ISERROR(SEARCH("Tote",AG23)))</formula>
    </cfRule>
  </conditionalFormatting>
  <conditionalFormatting sqref="AM23">
    <cfRule type="containsText" dxfId="138" priority="53" operator="containsText" text="Tote">
      <formula>NOT(ISERROR(SEARCH("Tote",AM23)))</formula>
    </cfRule>
  </conditionalFormatting>
  <conditionalFormatting sqref="BN23">
    <cfRule type="containsText" dxfId="137" priority="48" operator="containsText" text="Tote">
      <formula>NOT(ISERROR(SEARCH("Tote",BN23)))</formula>
    </cfRule>
  </conditionalFormatting>
  <conditionalFormatting sqref="AS23">
    <cfRule type="containsText" dxfId="136" priority="51" operator="containsText" text="Tote">
      <formula>NOT(ISERROR(SEARCH("Tote",AS23)))</formula>
    </cfRule>
  </conditionalFormatting>
  <conditionalFormatting sqref="AV23">
    <cfRule type="containsText" dxfId="135" priority="50" operator="containsText" text="Tote">
      <formula>NOT(ISERROR(SEARCH("Tote",AV23)))</formula>
    </cfRule>
  </conditionalFormatting>
  <conditionalFormatting sqref="AY23">
    <cfRule type="containsText" dxfId="134" priority="49" operator="containsText" text="Tote">
      <formula>NOT(ISERROR(SEARCH("Tote",AY23)))</formula>
    </cfRule>
  </conditionalFormatting>
  <conditionalFormatting sqref="BQ23">
    <cfRule type="containsText" dxfId="133" priority="47" operator="containsText" text="Tote">
      <formula>NOT(ISERROR(SEARCH("Tote",BQ23)))</formula>
    </cfRule>
  </conditionalFormatting>
  <conditionalFormatting sqref="BT23">
    <cfRule type="containsText" dxfId="132" priority="46" operator="containsText" text="Tote">
      <formula>NOT(ISERROR(SEARCH("Tote",BT23)))</formula>
    </cfRule>
  </conditionalFormatting>
  <conditionalFormatting sqref="BW23">
    <cfRule type="containsText" dxfId="131" priority="45" operator="containsText" text="Tote">
      <formula>NOT(ISERROR(SEARCH("Tote",BW23)))</formula>
    </cfRule>
  </conditionalFormatting>
  <conditionalFormatting sqref="BZ23">
    <cfRule type="containsText" dxfId="130" priority="44" operator="containsText" text="Tote">
      <formula>NOT(ISERROR(SEARCH("Tote",BZ23)))</formula>
    </cfRule>
  </conditionalFormatting>
  <conditionalFormatting sqref="AJ23">
    <cfRule type="containsText" dxfId="129" priority="43" operator="containsText" text="Tote">
      <formula>NOT(ISERROR(SEARCH("Tote",AJ23)))</formula>
    </cfRule>
  </conditionalFormatting>
  <conditionalFormatting sqref="AP23:AP24">
    <cfRule type="containsText" dxfId="128" priority="40" operator="containsText" text="Tote">
      <formula>NOT(ISERROR(SEARCH("Tote",AP23)))</formula>
    </cfRule>
  </conditionalFormatting>
  <conditionalFormatting sqref="AP24">
    <cfRule type="containsText" dxfId="127" priority="39" operator="containsText" text="Tote">
      <formula>NOT(ISERROR(SEARCH("Tote",AP24)))</formula>
    </cfRule>
  </conditionalFormatting>
  <conditionalFormatting sqref="BF34">
    <cfRule type="containsText" dxfId="126" priority="36" operator="containsText" text="Draw">
      <formula>NOT(ISERROR(SEARCH("Draw",BF34)))</formula>
    </cfRule>
    <cfRule type="containsText" dxfId="125" priority="37" operator="containsText" text="Loss">
      <formula>NOT(ISERROR(SEARCH("Loss",BF34)))</formula>
    </cfRule>
    <cfRule type="containsText" dxfId="124" priority="38" operator="containsText" text="Win">
      <formula>NOT(ISERROR(SEARCH("Win",BF34)))</formula>
    </cfRule>
  </conditionalFormatting>
  <conditionalFormatting sqref="BC34">
    <cfRule type="containsText" dxfId="123" priority="33" operator="containsText" text="Draw">
      <formula>NOT(ISERROR(SEARCH("Draw",BC34)))</formula>
    </cfRule>
    <cfRule type="containsText" dxfId="122" priority="34" operator="containsText" text="Loss">
      <formula>NOT(ISERROR(SEARCH("Loss",BC34)))</formula>
    </cfRule>
    <cfRule type="containsText" dxfId="121" priority="35" operator="containsText" text="Win">
      <formula>NOT(ISERROR(SEARCH("Win",BC34)))</formula>
    </cfRule>
  </conditionalFormatting>
  <conditionalFormatting sqref="BI34">
    <cfRule type="containsText" dxfId="120" priority="30" operator="containsText" text="Draw">
      <formula>NOT(ISERROR(SEARCH("Draw",BI34)))</formula>
    </cfRule>
    <cfRule type="containsText" dxfId="119" priority="31" operator="containsText" text="Loss">
      <formula>NOT(ISERROR(SEARCH("Loss",BI34)))</formula>
    </cfRule>
    <cfRule type="containsText" dxfId="118" priority="32" operator="containsText" text="Win">
      <formula>NOT(ISERROR(SEARCH("Win",BI34)))</formula>
    </cfRule>
  </conditionalFormatting>
  <conditionalFormatting sqref="BL34">
    <cfRule type="containsText" dxfId="117" priority="27" operator="containsText" text="Draw">
      <formula>NOT(ISERROR(SEARCH("Draw",BL34)))</formula>
    </cfRule>
    <cfRule type="containsText" dxfId="116" priority="28" operator="containsText" text="Loss">
      <formula>NOT(ISERROR(SEARCH("Loss",BL34)))</formula>
    </cfRule>
    <cfRule type="containsText" dxfId="115" priority="29" operator="containsText" text="Win">
      <formula>NOT(ISERROR(SEARCH("Win",BL34)))</formula>
    </cfRule>
  </conditionalFormatting>
  <conditionalFormatting sqref="BB27">
    <cfRule type="containsText" dxfId="114" priority="25" operator="containsText" text="Tote">
      <formula>NOT(ISERROR(SEARCH("Tote",BB27)))</formula>
    </cfRule>
  </conditionalFormatting>
  <conditionalFormatting sqref="BB27">
    <cfRule type="containsText" dxfId="113" priority="26" operator="containsText" text="Tote">
      <formula>NOT(ISERROR(SEARCH("Tote",BB27)))</formula>
    </cfRule>
  </conditionalFormatting>
  <conditionalFormatting sqref="BB26">
    <cfRule type="containsText" dxfId="112" priority="24" operator="containsText" text="Tote">
      <formula>NOT(ISERROR(SEARCH("Tote",BB26)))</formula>
    </cfRule>
  </conditionalFormatting>
  <conditionalFormatting sqref="BB11:BB22 BB24:BB25">
    <cfRule type="containsText" dxfId="111" priority="23" operator="containsText" text="Tote">
      <formula>NOT(ISERROR(SEARCH("Tote",BB11)))</formula>
    </cfRule>
  </conditionalFormatting>
  <conditionalFormatting sqref="BB22 BB24">
    <cfRule type="containsText" dxfId="110" priority="22" operator="containsText" text="Tote">
      <formula>NOT(ISERROR(SEARCH("Tote",BB22)))</formula>
    </cfRule>
  </conditionalFormatting>
  <conditionalFormatting sqref="BE27">
    <cfRule type="containsText" dxfId="109" priority="20" operator="containsText" text="Tote">
      <formula>NOT(ISERROR(SEARCH("Tote",BE27)))</formula>
    </cfRule>
  </conditionalFormatting>
  <conditionalFormatting sqref="BE27">
    <cfRule type="containsText" dxfId="108" priority="21" operator="containsText" text="Tote">
      <formula>NOT(ISERROR(SEARCH("Tote",BE27)))</formula>
    </cfRule>
  </conditionalFormatting>
  <conditionalFormatting sqref="BE26">
    <cfRule type="containsText" dxfId="107" priority="19" operator="containsText" text="Tote">
      <formula>NOT(ISERROR(SEARCH("Tote",BE26)))</formula>
    </cfRule>
  </conditionalFormatting>
  <conditionalFormatting sqref="BE11:BE22 BE24:BE25">
    <cfRule type="containsText" dxfId="106" priority="18" operator="containsText" text="Tote">
      <formula>NOT(ISERROR(SEARCH("Tote",BE11)))</formula>
    </cfRule>
  </conditionalFormatting>
  <conditionalFormatting sqref="BE22 BE24">
    <cfRule type="containsText" dxfId="105" priority="17" operator="containsText" text="Tote">
      <formula>NOT(ISERROR(SEARCH("Tote",BE22)))</formula>
    </cfRule>
  </conditionalFormatting>
  <conditionalFormatting sqref="BH27">
    <cfRule type="containsText" dxfId="104" priority="15" operator="containsText" text="Tote">
      <formula>NOT(ISERROR(SEARCH("Tote",BH27)))</formula>
    </cfRule>
  </conditionalFormatting>
  <conditionalFormatting sqref="BH27">
    <cfRule type="containsText" dxfId="103" priority="16" operator="containsText" text="Tote">
      <formula>NOT(ISERROR(SEARCH("Tote",BH27)))</formula>
    </cfRule>
  </conditionalFormatting>
  <conditionalFormatting sqref="BH26">
    <cfRule type="containsText" dxfId="102" priority="14" operator="containsText" text="Tote">
      <formula>NOT(ISERROR(SEARCH("Tote",BH26)))</formula>
    </cfRule>
  </conditionalFormatting>
  <conditionalFormatting sqref="BH11:BH22 BH24:BH25">
    <cfRule type="containsText" dxfId="101" priority="13" operator="containsText" text="Tote">
      <formula>NOT(ISERROR(SEARCH("Tote",BH11)))</formula>
    </cfRule>
  </conditionalFormatting>
  <conditionalFormatting sqref="BH22 BH24">
    <cfRule type="containsText" dxfId="100" priority="12" operator="containsText" text="Tote">
      <formula>NOT(ISERROR(SEARCH("Tote",BH22)))</formula>
    </cfRule>
  </conditionalFormatting>
  <conditionalFormatting sqref="BK27">
    <cfRule type="containsText" dxfId="99" priority="10" operator="containsText" text="Tote">
      <formula>NOT(ISERROR(SEARCH("Tote",BK27)))</formula>
    </cfRule>
  </conditionalFormatting>
  <conditionalFormatting sqref="BK27">
    <cfRule type="containsText" dxfId="98" priority="11" operator="containsText" text="Tote">
      <formula>NOT(ISERROR(SEARCH("Tote",BK27)))</formula>
    </cfRule>
  </conditionalFormatting>
  <conditionalFormatting sqref="BK26">
    <cfRule type="containsText" dxfId="97" priority="9" operator="containsText" text="Tote">
      <formula>NOT(ISERROR(SEARCH("Tote",BK26)))</formula>
    </cfRule>
  </conditionalFormatting>
  <conditionalFormatting sqref="BK24:BK25">
    <cfRule type="containsText" dxfId="96" priority="8" operator="containsText" text="Tote">
      <formula>NOT(ISERROR(SEARCH("Tote",BK24)))</formula>
    </cfRule>
  </conditionalFormatting>
  <conditionalFormatting sqref="BK24">
    <cfRule type="containsText" dxfId="95" priority="7" operator="containsText" text="Tote">
      <formula>NOT(ISERROR(SEARCH("Tote",BK24)))</formula>
    </cfRule>
  </conditionalFormatting>
  <conditionalFormatting sqref="BB23">
    <cfRule type="containsText" dxfId="94" priority="6" operator="containsText" text="Tote">
      <formula>NOT(ISERROR(SEARCH("Tote",BB23)))</formula>
    </cfRule>
  </conditionalFormatting>
  <conditionalFormatting sqref="BE23">
    <cfRule type="containsText" dxfId="93" priority="5" operator="containsText" text="Tote">
      <formula>NOT(ISERROR(SEARCH("Tote",BE23)))</formula>
    </cfRule>
  </conditionalFormatting>
  <conditionalFormatting sqref="BH23">
    <cfRule type="containsText" dxfId="92" priority="4" operator="containsText" text="Tote">
      <formula>NOT(ISERROR(SEARCH("Tote",BH23)))</formula>
    </cfRule>
  </conditionalFormatting>
  <conditionalFormatting sqref="BK23">
    <cfRule type="containsText" dxfId="91" priority="3" operator="containsText" text="Tote">
      <formula>NOT(ISERROR(SEARCH("Tote",BK23)))</formula>
    </cfRule>
  </conditionalFormatting>
  <conditionalFormatting sqref="BK11:BK22">
    <cfRule type="containsText" dxfId="90" priority="2" operator="containsText" text="Tote">
      <formula>NOT(ISERROR(SEARCH("Tote",BK11)))</formula>
    </cfRule>
  </conditionalFormatting>
  <conditionalFormatting sqref="BK22">
    <cfRule type="containsText" dxfId="89" priority="1" operator="containsText" text="Tote">
      <formula>NOT(ISERROR(SEARCH("Tote",BK22)))</formula>
    </cfRule>
  </conditionalFormatting>
  <dataValidations count="2">
    <dataValidation type="list" allowBlank="1" showInputMessage="1" showErrorMessage="1" sqref="E5 AI5 N5 Q5 BM5 Z5 W5 AF5 AC5 B5 BV5 AO5 T5 H5 K5 AU5 AR5 AX5 BY5 BS5 BP5 AL5 BA5 BJ5 BG5 BD5">
      <formula1>LIST</formula1>
    </dataValidation>
    <dataValidation type="list" allowBlank="1" showInputMessage="1" showErrorMessage="1" sqref="B6 BY6 H6 K6 BV6 AR6 AL6 AX6 Z6 W6 AF6 AC6 E6 AI6 N6 Q6 T6 AO6 BP6 BM6 AU6 BS6 BG6 BD6 BA6 BJ6">
      <formula1>CUP</formula1>
    </dataValidation>
  </dataValidations>
  <hyperlinks>
    <hyperlink ref="C8" r:id="rId1"/>
    <hyperlink ref="F8" r:id="rId2"/>
    <hyperlink ref="I8" r:id="rId3"/>
    <hyperlink ref="L8" r:id="rId4"/>
    <hyperlink ref="O8" r:id="rId5"/>
    <hyperlink ref="U8" r:id="rId6"/>
    <hyperlink ref="X8" r:id="rId7"/>
    <hyperlink ref="AG8" r:id="rId8"/>
    <hyperlink ref="AM8" r:id="rId9"/>
    <hyperlink ref="AP8" r:id="rId10"/>
    <hyperlink ref="AS8" r:id="rId11"/>
    <hyperlink ref="BB8" r:id="rId12"/>
    <hyperlink ref="BH8" r:id="rId13"/>
    <hyperlink ref="BK8" r:id="rId14"/>
    <hyperlink ref="BN8" r:id="rId15"/>
    <hyperlink ref="BQ8" r:id="rId16"/>
    <hyperlink ref="AJ8" r:id="rId17"/>
    <hyperlink ref="BE8" r:id="rId18"/>
    <hyperlink ref="AY8" r:id="rId19"/>
    <hyperlink ref="AV8" r:id="rId20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F7" sqref="AF7:AF16"/>
    </sheetView>
  </sheetViews>
  <sheetFormatPr defaultRowHeight="15" x14ac:dyDescent="0.25"/>
  <cols>
    <col min="1" max="1" width="16.85546875" customWidth="1"/>
    <col min="2" max="2" width="2.28515625" style="31" customWidth="1"/>
    <col min="3" max="3" width="10" style="31" bestFit="1" customWidth="1"/>
    <col min="4" max="4" width="7.5703125" style="31" bestFit="1" customWidth="1"/>
    <col min="5" max="5" width="2.28515625" style="31" customWidth="1"/>
    <col min="6" max="6" width="6.85546875" customWidth="1"/>
    <col min="7" max="7" width="5" bestFit="1" customWidth="1"/>
    <col min="8" max="8" width="6.7109375" customWidth="1"/>
    <col min="9" max="9" width="6" customWidth="1"/>
    <col min="10" max="10" width="4.42578125" bestFit="1" customWidth="1"/>
    <col min="11" max="11" width="2.5703125" customWidth="1"/>
    <col min="12" max="12" width="6.85546875" customWidth="1"/>
    <col min="13" max="13" width="5.85546875" customWidth="1"/>
    <col min="14" max="14" width="6.7109375" customWidth="1"/>
    <col min="15" max="15" width="6.28515625" bestFit="1" customWidth="1"/>
    <col min="16" max="16" width="4.42578125" bestFit="1" customWidth="1"/>
    <col min="17" max="17" width="2.5703125" customWidth="1"/>
    <col min="18" max="18" width="6.85546875" customWidth="1"/>
    <col min="19" max="19" width="5" bestFit="1" customWidth="1"/>
    <col min="20" max="20" width="6.7109375" customWidth="1"/>
    <col min="21" max="21" width="6.28515625" bestFit="1" customWidth="1"/>
    <col min="22" max="22" width="4.42578125" bestFit="1" customWidth="1"/>
    <col min="23" max="23" width="2.5703125" customWidth="1"/>
    <col min="24" max="24" width="6.85546875" customWidth="1"/>
    <col min="25" max="25" width="6.140625" bestFit="1" customWidth="1"/>
    <col min="26" max="26" width="6.7109375" customWidth="1"/>
    <col min="27" max="27" width="6.28515625" bestFit="1" customWidth="1"/>
    <col min="28" max="28" width="6.140625" bestFit="1" customWidth="1"/>
    <col min="29" max="29" width="2.5703125" customWidth="1"/>
    <col min="30" max="30" width="6.85546875" customWidth="1"/>
    <col min="31" max="31" width="5" bestFit="1" customWidth="1"/>
    <col min="32" max="32" width="6.7109375" customWidth="1"/>
    <col min="33" max="33" width="6.28515625" bestFit="1" customWidth="1"/>
    <col min="34" max="34" width="4.42578125" bestFit="1" customWidth="1"/>
  </cols>
  <sheetData>
    <row r="1" spans="1:38" ht="23.25" x14ac:dyDescent="0.35">
      <c r="A1" s="27" t="s">
        <v>29</v>
      </c>
      <c r="B1" s="30"/>
      <c r="C1" s="30"/>
      <c r="D1" s="30"/>
      <c r="E1" s="30"/>
      <c r="M1" s="191" t="s">
        <v>57</v>
      </c>
      <c r="N1" s="191"/>
      <c r="O1" s="393">
        <f ca="1">NOW()</f>
        <v>43188.751605671299</v>
      </c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8" ht="15.75" customHeight="1" x14ac:dyDescent="0.35">
      <c r="A2" s="27"/>
      <c r="B2" s="30"/>
      <c r="C2" s="30"/>
      <c r="D2" s="30"/>
      <c r="E2" s="30"/>
      <c r="N2" s="22"/>
      <c r="Z2" s="22"/>
    </row>
    <row r="3" spans="1:38" ht="23.25" x14ac:dyDescent="0.35">
      <c r="A3" s="1"/>
      <c r="B3" s="32"/>
      <c r="C3" s="32"/>
      <c r="D3" s="32"/>
      <c r="E3" s="32"/>
      <c r="F3" s="188" t="s">
        <v>15</v>
      </c>
      <c r="G3" s="189"/>
      <c r="H3" s="189"/>
      <c r="I3" s="189"/>
      <c r="J3" s="190"/>
      <c r="K3" s="27"/>
      <c r="L3" s="192" t="s">
        <v>6</v>
      </c>
      <c r="M3" s="193"/>
      <c r="N3" s="194"/>
      <c r="O3" s="193"/>
      <c r="P3" s="195"/>
      <c r="Q3" s="196"/>
      <c r="R3" s="241" t="s">
        <v>33</v>
      </c>
      <c r="S3" s="242"/>
      <c r="T3" s="242"/>
      <c r="U3" s="242"/>
      <c r="V3" s="243"/>
      <c r="W3" s="27"/>
      <c r="X3" s="284" t="s">
        <v>34</v>
      </c>
      <c r="Y3" s="285"/>
      <c r="Z3" s="286"/>
      <c r="AA3" s="285"/>
      <c r="AB3" s="287"/>
      <c r="AC3" s="196"/>
      <c r="AD3" s="197" t="s">
        <v>17</v>
      </c>
      <c r="AE3" s="198"/>
      <c r="AF3" s="65"/>
      <c r="AG3" s="65"/>
      <c r="AH3" s="66"/>
    </row>
    <row r="4" spans="1:38" ht="38.25" x14ac:dyDescent="0.35">
      <c r="A4" s="212" t="s">
        <v>20</v>
      </c>
      <c r="B4" s="32"/>
      <c r="C4" s="338" t="s">
        <v>73</v>
      </c>
      <c r="D4" s="338" t="s">
        <v>100</v>
      </c>
      <c r="E4" s="32"/>
      <c r="F4" s="203">
        <f>+F30</f>
        <v>11</v>
      </c>
      <c r="G4" s="214"/>
      <c r="H4" s="214"/>
      <c r="I4" s="204"/>
      <c r="J4" s="205"/>
      <c r="K4" s="27"/>
      <c r="L4" s="206">
        <f>+L30</f>
        <v>9</v>
      </c>
      <c r="M4" s="207"/>
      <c r="N4" s="218"/>
      <c r="O4" s="215"/>
      <c r="P4" s="208"/>
      <c r="Q4" s="196"/>
      <c r="R4" s="244">
        <f>+R30</f>
        <v>3</v>
      </c>
      <c r="S4" s="245"/>
      <c r="T4" s="245"/>
      <c r="U4" s="246"/>
      <c r="V4" s="247"/>
      <c r="W4" s="27"/>
      <c r="X4" s="288">
        <f>+X30</f>
        <v>17</v>
      </c>
      <c r="Y4" s="289"/>
      <c r="Z4" s="290"/>
      <c r="AA4" s="291"/>
      <c r="AB4" s="292"/>
      <c r="AC4" s="196"/>
      <c r="AD4" s="209">
        <f>+AD30</f>
        <v>20</v>
      </c>
      <c r="AE4" s="210"/>
      <c r="AF4" s="217"/>
      <c r="AG4" s="216"/>
      <c r="AH4" s="211"/>
    </row>
    <row r="5" spans="1:38" ht="15.75" customHeight="1" x14ac:dyDescent="0.25">
      <c r="A5" s="1"/>
      <c r="B5" s="32"/>
      <c r="C5" s="32"/>
      <c r="D5" s="32"/>
      <c r="E5" s="32"/>
      <c r="F5" s="51"/>
      <c r="G5" s="52"/>
      <c r="H5" s="52"/>
      <c r="I5" s="53" t="s">
        <v>25</v>
      </c>
      <c r="J5" s="54"/>
      <c r="K5" s="5"/>
      <c r="L5" s="57"/>
      <c r="M5" s="58"/>
      <c r="N5" s="58"/>
      <c r="O5" s="59" t="s">
        <v>25</v>
      </c>
      <c r="P5" s="60"/>
      <c r="Q5" s="4"/>
      <c r="R5" s="248"/>
      <c r="S5" s="249"/>
      <c r="T5" s="249"/>
      <c r="U5" s="250" t="s">
        <v>25</v>
      </c>
      <c r="V5" s="251"/>
      <c r="W5" s="5"/>
      <c r="X5" s="293"/>
      <c r="Y5" s="294"/>
      <c r="Z5" s="294"/>
      <c r="AA5" s="295" t="s">
        <v>25</v>
      </c>
      <c r="AB5" s="296"/>
      <c r="AC5" s="4"/>
      <c r="AD5" s="67"/>
      <c r="AE5" s="68"/>
      <c r="AF5" s="68"/>
      <c r="AG5" s="69" t="s">
        <v>25</v>
      </c>
      <c r="AH5" s="70"/>
    </row>
    <row r="6" spans="1:38" ht="15.75" customHeight="1" x14ac:dyDescent="0.3">
      <c r="A6" s="47" t="s">
        <v>0</v>
      </c>
      <c r="B6" s="33"/>
      <c r="C6" s="33"/>
      <c r="D6" s="33"/>
      <c r="E6" s="33"/>
      <c r="F6" s="55" t="s">
        <v>24</v>
      </c>
      <c r="G6" s="53" t="s">
        <v>66</v>
      </c>
      <c r="H6" s="53" t="s">
        <v>23</v>
      </c>
      <c r="I6" s="53" t="s">
        <v>26</v>
      </c>
      <c r="J6" s="56" t="s">
        <v>18</v>
      </c>
      <c r="K6" s="7"/>
      <c r="L6" s="61" t="s">
        <v>24</v>
      </c>
      <c r="M6" s="59" t="s">
        <v>66</v>
      </c>
      <c r="N6" s="59" t="s">
        <v>23</v>
      </c>
      <c r="O6" s="59" t="s">
        <v>26</v>
      </c>
      <c r="P6" s="62" t="s">
        <v>18</v>
      </c>
      <c r="Q6" s="4"/>
      <c r="R6" s="252" t="s">
        <v>24</v>
      </c>
      <c r="S6" s="250" t="s">
        <v>66</v>
      </c>
      <c r="T6" s="250" t="s">
        <v>23</v>
      </c>
      <c r="U6" s="250" t="s">
        <v>26</v>
      </c>
      <c r="V6" s="253" t="s">
        <v>18</v>
      </c>
      <c r="W6" s="7"/>
      <c r="X6" s="297" t="s">
        <v>24</v>
      </c>
      <c r="Y6" s="295" t="s">
        <v>66</v>
      </c>
      <c r="Z6" s="295" t="s">
        <v>23</v>
      </c>
      <c r="AA6" s="295" t="s">
        <v>26</v>
      </c>
      <c r="AB6" s="298" t="s">
        <v>18</v>
      </c>
      <c r="AC6" s="4"/>
      <c r="AD6" s="71" t="s">
        <v>24</v>
      </c>
      <c r="AE6" s="69" t="s">
        <v>66</v>
      </c>
      <c r="AF6" s="69" t="s">
        <v>23</v>
      </c>
      <c r="AG6" s="69" t="s">
        <v>26</v>
      </c>
      <c r="AH6" s="72" t="s">
        <v>18</v>
      </c>
    </row>
    <row r="7" spans="1:38" ht="18.75" customHeight="1" x14ac:dyDescent="0.25">
      <c r="A7" s="28" t="str">
        <f>IF(+Scores!A11&lt;&gt;0, +Scores!A11,"")</f>
        <v>Dave E (Doc)</v>
      </c>
      <c r="B7" s="90"/>
      <c r="C7" s="339">
        <f>MAX(Scores!B11:CA11)</f>
        <v>58</v>
      </c>
      <c r="D7" s="339">
        <f>COUNTIF(Scores!B11:CA11,"Tote")</f>
        <v>4</v>
      </c>
      <c r="E7" s="90"/>
      <c r="F7" s="240">
        <f>SUMIFS(Scores!D11:CA11,Scores!D$9:CA$9,"Score",Scores!B$5:BY$5,"Home")</f>
        <v>429</v>
      </c>
      <c r="G7" s="91">
        <f>COUNTIFS(Scores!B11:BY11, "&gt;0",Scores!B$9:BY$9,"Pos #",Scores!B$5:BY$5,"Home")</f>
        <v>9</v>
      </c>
      <c r="H7" s="92">
        <f t="shared" ref="H7:H23" si="0">IF((G7&gt;0),ROUND(F7/G7,1),"")</f>
        <v>47.7</v>
      </c>
      <c r="I7" s="93">
        <f>COUNTIFS(Scores!C11:BZ11, "Tote",Scores!B$5:BY$5,"Home")</f>
        <v>1</v>
      </c>
      <c r="J7" s="94">
        <f t="shared" ref="J7:J21" si="1">IF(ISNUMBER(H7),_xlfn.RANK.AVG(H7,H$7:H$21,0),"")</f>
        <v>3</v>
      </c>
      <c r="K7" s="95"/>
      <c r="L7" s="96">
        <f>SUMIFS(Scores!D11:CA11,Scores!D$9:CA$9,"Score",Scores!B$5:BY$5,"Away")</f>
        <v>326</v>
      </c>
      <c r="M7" s="97">
        <f>COUNTIFS(Scores!B11:BY11, "&gt;0",Scores!B$9:BY$9,"Pos #",Scores!B$5:BY$5,"Away")</f>
        <v>7</v>
      </c>
      <c r="N7" s="16">
        <f t="shared" ref="N7:N23" si="2">IF((M7&gt;0),ROUND(L7/M7,1),"")</f>
        <v>46.6</v>
      </c>
      <c r="O7" s="106">
        <f>COUNTIFS(Scores!C11:BZ11, "Tote",Scores!B$5:BY$5,"Away")</f>
        <v>3</v>
      </c>
      <c r="P7" s="63">
        <f t="shared" ref="P7:P21" si="3">IF(ISNUMBER(N7),_xlfn.RANK.AVG(N7,N$7:N$21,0),"")</f>
        <v>4</v>
      </c>
      <c r="Q7" s="98"/>
      <c r="R7" s="254">
        <f>SUMIFS(Scores!D11:CA11,Scores!D$9:CA$9,"Score",Scores!B$6:BY$6,"Cup")</f>
        <v>154</v>
      </c>
      <c r="S7" s="325">
        <f>COUNTIFS(Scores!B11:BY11, "&gt;0",Scores!B$9:BY$9,"Pos #",Scores!B$6:BY$6,"Cup")</f>
        <v>3</v>
      </c>
      <c r="T7" s="255">
        <f t="shared" ref="T7:T23" si="4">IF((S7&gt;0),ROUND(R7/S7,1),"")</f>
        <v>51.3</v>
      </c>
      <c r="U7" s="256">
        <f>COUNTIFS(Scores!O11:CL11, "Tote",Scores!N$5:CK$5,"Home")</f>
        <v>1</v>
      </c>
      <c r="V7" s="257">
        <f t="shared" ref="V7:V23" si="5">IF(ISNUMBER(T7),_xlfn.RANK.AVG(T7,T$7:T$23,0),"")</f>
        <v>1</v>
      </c>
      <c r="W7" s="95"/>
      <c r="X7" s="328">
        <f>SUMIFS(Scores!D11:CA11,Scores!D$9:CA$9,"Score",Scores!B$6:BY$6,"League")</f>
        <v>601</v>
      </c>
      <c r="Y7" s="329">
        <f>COUNTIFS(Scores!B11:BY11, "&gt;0",Scores!B$9:BY$9,"Pos #",Scores!B$6:BY$6,"League")</f>
        <v>13</v>
      </c>
      <c r="Z7" s="299">
        <f t="shared" ref="Z7:Z23" si="6">IF((Y7&gt;0),ROUND(X7/Y7,1),"")</f>
        <v>46.2</v>
      </c>
      <c r="AA7" s="300">
        <f>COUNTIFS(Scores!O11:CL11, "Tote",Scores!N$5:CK$5,"Away")</f>
        <v>2</v>
      </c>
      <c r="AB7" s="301">
        <f t="shared" ref="AB7:AB21" si="7">IF(ISNUMBER(Z7),_xlfn.RANK.AVG(Z7,Z$7:Z$21,0),"")</f>
        <v>4</v>
      </c>
      <c r="AC7" s="98"/>
      <c r="AD7" s="88">
        <f>SUMIFS(Scores!D11:CA11,Scores!D$9:CA$9,"Score")</f>
        <v>755</v>
      </c>
      <c r="AE7" s="17">
        <f>COUNTIFS(Scores!B11:BY11, "&gt;0",Scores!B$9:BY$9,"Pos #")</f>
        <v>16</v>
      </c>
      <c r="AF7" s="18">
        <f t="shared" ref="AF7:AF23" si="8">IF((AE7&gt;0),ROUND(AD7/AE7,1),"")</f>
        <v>47.2</v>
      </c>
      <c r="AG7" s="19">
        <f>COUNTIF(Scores!B11:CA11, "Tote")</f>
        <v>4</v>
      </c>
      <c r="AH7" s="73">
        <f t="shared" ref="AH7:AH21" si="9">IF(ISNUMBER(AF7),_xlfn.RANK.AVG(AF7,AF$7:AF$21,0),"")</f>
        <v>3</v>
      </c>
      <c r="AK7" s="89"/>
      <c r="AL7" s="89"/>
    </row>
    <row r="8" spans="1:38" ht="15.75" x14ac:dyDescent="0.25">
      <c r="A8" s="28" t="str">
        <f>IF(+Scores!A12&lt;&gt;0, +Scores!A12,"")</f>
        <v>Dash</v>
      </c>
      <c r="B8" s="45"/>
      <c r="C8" s="339">
        <f>MAX(Scores!B12:CA12)</f>
        <v>55</v>
      </c>
      <c r="D8" s="339">
        <f>COUNTIF(Scores!B12:CA12,"Tote")</f>
        <v>0</v>
      </c>
      <c r="E8" s="45"/>
      <c r="F8" s="99">
        <f>SUMIFS(Scores!D12:CA12,Scores!D$9:CA$9,"Score",Scores!B$5:BY$5,"Home")</f>
        <v>265</v>
      </c>
      <c r="G8" s="100">
        <f>COUNTIFS(Scores!B12:BY12, "&gt;0",Scores!B$9:BY$9,"Pos #",Scores!B$5:BY$5,"Home")</f>
        <v>6</v>
      </c>
      <c r="H8" s="101">
        <f t="shared" si="0"/>
        <v>44.2</v>
      </c>
      <c r="I8" s="102">
        <f>COUNTIFS(Scores!C12:BZ12, "Tote",Scores!B$5:BY$5,"Home")</f>
        <v>0</v>
      </c>
      <c r="J8" s="103">
        <f t="shared" si="1"/>
        <v>10</v>
      </c>
      <c r="K8" s="104"/>
      <c r="L8" s="105">
        <f>SUMIFS(Scores!D12:CA12,Scores!D$9:CA$9,"Score",Scores!B$5:BY$5,"Away")</f>
        <v>307</v>
      </c>
      <c r="M8" s="129">
        <f>COUNTIFS(Scores!B12:BY12, "&gt;0",Scores!B$9:BY$9,"Pos #",Scores!B$5:BY$5,"Away")</f>
        <v>7</v>
      </c>
      <c r="N8" s="16">
        <f t="shared" si="2"/>
        <v>43.9</v>
      </c>
      <c r="O8" s="106">
        <f>COUNTIFS(Scores!C12:BZ12, "Tote",Scores!B$5:BY$5,"Away")</f>
        <v>0</v>
      </c>
      <c r="P8" s="63">
        <f t="shared" si="3"/>
        <v>8</v>
      </c>
      <c r="Q8" s="107"/>
      <c r="R8" s="254">
        <f>SUMIFS(Scores!D12:CA12,Scores!D$9:CA$9,"Score",Scores!B$6:BY$6,"Cup")</f>
        <v>130</v>
      </c>
      <c r="S8" s="327">
        <f>COUNTIFS(Scores!B12:BY12, "&gt;0",Scores!B$9:BY$9,"Pos #",Scores!B$6:BY$6,"Cup")</f>
        <v>3</v>
      </c>
      <c r="T8" s="258">
        <f t="shared" si="4"/>
        <v>43.3</v>
      </c>
      <c r="U8" s="259">
        <f>COUNTIFS(Scores!O12:CL12, "Tote",Scores!N$5:CK$5,"Home")</f>
        <v>0</v>
      </c>
      <c r="V8" s="260">
        <f t="shared" si="5"/>
        <v>7.5</v>
      </c>
      <c r="W8" s="104"/>
      <c r="X8" s="332">
        <f>SUMIFS(Scores!D12:CA12,Scores!D$9:CA$9,"Score",Scores!B$6:BY$6,"League")</f>
        <v>442</v>
      </c>
      <c r="Y8" s="333">
        <f>COUNTIFS(Scores!B12:BY12, "&gt;0",Scores!B$9:BY$9,"Pos #",Scores!B$6:BY$6,"League")</f>
        <v>10</v>
      </c>
      <c r="Z8" s="299">
        <f t="shared" si="6"/>
        <v>44.2</v>
      </c>
      <c r="AA8" s="300">
        <f>COUNTIFS(Scores!O12:CL12, "Tote",Scores!N$5:CK$5,"Away")</f>
        <v>0</v>
      </c>
      <c r="AB8" s="301">
        <f t="shared" si="7"/>
        <v>10</v>
      </c>
      <c r="AC8" s="107"/>
      <c r="AD8" s="88">
        <f>SUMIFS(Scores!D12:CA12,Scores!D$9:CA$9,"Score")</f>
        <v>572</v>
      </c>
      <c r="AE8" s="17">
        <f>COUNTIFS(Scores!B12:BY12, "&gt;0",Scores!B$9:BY$9,"Pos #")</f>
        <v>13</v>
      </c>
      <c r="AF8" s="18">
        <f t="shared" si="8"/>
        <v>44</v>
      </c>
      <c r="AG8" s="19">
        <f>COUNTIF(Scores!B12:CA12, "Tote")</f>
        <v>0</v>
      </c>
      <c r="AH8" s="73">
        <f t="shared" si="9"/>
        <v>10.5</v>
      </c>
      <c r="AK8" s="89"/>
      <c r="AL8" s="89"/>
    </row>
    <row r="9" spans="1:38" ht="15.75" x14ac:dyDescent="0.25">
      <c r="A9" s="28" t="str">
        <f>IF(+Scores!A13&lt;&gt;0, +Scores!A13,"")</f>
        <v>Lyndon</v>
      </c>
      <c r="B9" s="45"/>
      <c r="C9" s="339">
        <f>MAX(Scores!B13:CA13)</f>
        <v>49</v>
      </c>
      <c r="D9" s="339">
        <f>COUNTIF(Scores!B13:CA13,"Tote")</f>
        <v>0</v>
      </c>
      <c r="E9" s="45"/>
      <c r="F9" s="99">
        <f>SUMIFS(Scores!D13:CA13,Scores!D$9:CA$9,"Score",Scores!B$5:BY$5,"Home")</f>
        <v>222</v>
      </c>
      <c r="G9" s="100">
        <f>COUNTIFS(Scores!B13:BY13, "&gt;0",Scores!B$9:BY$9,"Pos #",Scores!B$5:BY$5,"Home")</f>
        <v>5</v>
      </c>
      <c r="H9" s="101">
        <f t="shared" si="0"/>
        <v>44.4</v>
      </c>
      <c r="I9" s="102">
        <f>COUNTIFS(Scores!C13:BZ13, "Tote",Scores!B$5:BY$5,"Home")</f>
        <v>0</v>
      </c>
      <c r="J9" s="103">
        <f t="shared" si="1"/>
        <v>9</v>
      </c>
      <c r="K9" s="104"/>
      <c r="L9" s="105">
        <f>SUMIFS(Scores!D13:CA13,Scores!D$9:CA$9,"Score",Scores!B$5:BY$5,"Away")</f>
        <v>88</v>
      </c>
      <c r="M9" s="129">
        <f>COUNTIFS(Scores!B13:BY13, "&gt;0",Scores!B$9:BY$9,"Pos #",Scores!B$5:BY$5,"Away")</f>
        <v>2</v>
      </c>
      <c r="N9" s="16">
        <f t="shared" si="2"/>
        <v>44</v>
      </c>
      <c r="O9" s="106">
        <f>COUNTIFS(Scores!C13:BZ13, "Tote",Scores!B$5:BY$5,"Away")</f>
        <v>0</v>
      </c>
      <c r="P9" s="63">
        <f t="shared" si="3"/>
        <v>7</v>
      </c>
      <c r="Q9" s="107"/>
      <c r="R9" s="254">
        <f>SUMIFS(Scores!D13:CA13,Scores!D$9:CA$9,"Score",Scores!B$6:BY$6,"Cup")</f>
        <v>44</v>
      </c>
      <c r="S9" s="327">
        <f>COUNTIFS(Scores!B13:BY13, "&gt;0",Scores!B$9:BY$9,"Pos #",Scores!B$6:BY$6,"Cup")</f>
        <v>1</v>
      </c>
      <c r="T9" s="258">
        <f t="shared" si="4"/>
        <v>44</v>
      </c>
      <c r="U9" s="259">
        <f>COUNTIFS(Scores!O13:CL13, "Tote",Scores!N$5:CK$5,"Home")</f>
        <v>0</v>
      </c>
      <c r="V9" s="260">
        <f t="shared" si="5"/>
        <v>6</v>
      </c>
      <c r="W9" s="104"/>
      <c r="X9" s="332">
        <f>SUMIFS(Scores!D13:CA13,Scores!D$9:CA$9,"Score",Scores!B$6:BY$6,"League")</f>
        <v>266</v>
      </c>
      <c r="Y9" s="333">
        <f>COUNTIFS(Scores!B13:BY13, "&gt;0",Scores!B$9:BY$9,"Pos #",Scores!B$6:BY$6,"League")</f>
        <v>6</v>
      </c>
      <c r="Z9" s="299">
        <f t="shared" si="6"/>
        <v>44.3</v>
      </c>
      <c r="AA9" s="300">
        <f>COUNTIFS(Scores!O13:CL13, "Tote",Scores!N$5:CK$5,"Away")</f>
        <v>0</v>
      </c>
      <c r="AB9" s="301">
        <f t="shared" si="7"/>
        <v>8</v>
      </c>
      <c r="AC9" s="107"/>
      <c r="AD9" s="88">
        <f>SUMIFS(Scores!D13:CA13,Scores!D$9:CA$9,"Score")</f>
        <v>310</v>
      </c>
      <c r="AE9" s="17">
        <f>COUNTIFS(Scores!B13:BY13, "&gt;0",Scores!B$9:BY$9,"Pos #")</f>
        <v>7</v>
      </c>
      <c r="AF9" s="18">
        <f t="shared" si="8"/>
        <v>44.3</v>
      </c>
      <c r="AG9" s="19">
        <f>COUNTIF(Scores!B13:CA13, "Tote")</f>
        <v>0</v>
      </c>
      <c r="AH9" s="73">
        <f t="shared" si="9"/>
        <v>9</v>
      </c>
      <c r="AK9" s="89"/>
      <c r="AL9" s="89"/>
    </row>
    <row r="10" spans="1:38" ht="15.75" x14ac:dyDescent="0.25">
      <c r="A10" s="28" t="str">
        <f>IF(+Scores!A14&lt;&gt;0, +Scores!A14,"")</f>
        <v>Rich A</v>
      </c>
      <c r="B10" s="45"/>
      <c r="C10" s="339">
        <f>MAX(Scores!B14:CA14)</f>
        <v>60</v>
      </c>
      <c r="D10" s="339">
        <f>COUNTIF(Scores!B14:CA14,"Tote")</f>
        <v>4</v>
      </c>
      <c r="E10" s="45"/>
      <c r="F10" s="99">
        <f>SUMIFS(Scores!D14:CA14,Scores!D$9:CA$9,"Score",Scores!B$5:BY$5,"Home")</f>
        <v>468</v>
      </c>
      <c r="G10" s="100">
        <f>COUNTIFS(Scores!B14:BY14, "&gt;0",Scores!B$9:BY$9,"Pos #",Scores!B$5:BY$5,"Home")</f>
        <v>10</v>
      </c>
      <c r="H10" s="101">
        <f t="shared" si="0"/>
        <v>46.8</v>
      </c>
      <c r="I10" s="102">
        <f>COUNTIFS(Scores!C14:BZ14, "Tote",Scores!B$5:BY$5,"Home")</f>
        <v>2</v>
      </c>
      <c r="J10" s="103">
        <f t="shared" si="1"/>
        <v>4</v>
      </c>
      <c r="K10" s="104"/>
      <c r="L10" s="105">
        <f>SUMIFS(Scores!D14:CA14,Scores!D$9:CA$9,"Score",Scores!B$5:BY$5,"Away")</f>
        <v>450</v>
      </c>
      <c r="M10" s="129">
        <f>COUNTIFS(Scores!B14:BY14, "&gt;0",Scores!B$9:BY$9,"Pos #",Scores!B$5:BY$5,"Away")</f>
        <v>9</v>
      </c>
      <c r="N10" s="16">
        <f t="shared" si="2"/>
        <v>50</v>
      </c>
      <c r="O10" s="106">
        <f>COUNTIFS(Scores!C14:BZ14, "Tote",Scores!B$5:BY$5,"Away")</f>
        <v>2</v>
      </c>
      <c r="P10" s="63">
        <f t="shared" si="3"/>
        <v>2</v>
      </c>
      <c r="Q10" s="107"/>
      <c r="R10" s="254">
        <f>SUMIFS(Scores!D14:CA14,Scores!D$9:CA$9,"Score",Scores!B$6:BY$6,"Cup")</f>
        <v>142</v>
      </c>
      <c r="S10" s="327">
        <f>COUNTIFS(Scores!B14:BY14, "&gt;0",Scores!B$9:BY$9,"Pos #",Scores!B$6:BY$6,"Cup")</f>
        <v>3</v>
      </c>
      <c r="T10" s="258">
        <f t="shared" si="4"/>
        <v>47.3</v>
      </c>
      <c r="U10" s="259">
        <f>COUNTIFS(Scores!O14:CL14, "Tote",Scores!N$5:CK$5,"Home")</f>
        <v>2</v>
      </c>
      <c r="V10" s="260">
        <f t="shared" si="5"/>
        <v>2</v>
      </c>
      <c r="W10" s="104"/>
      <c r="X10" s="332">
        <f>SUMIFS(Scores!D14:CA14,Scores!D$9:CA$9,"Score",Scores!B$6:BY$6,"League")</f>
        <v>776</v>
      </c>
      <c r="Y10" s="333">
        <f>COUNTIFS(Scores!B14:BY14, "&gt;0",Scores!B$9:BY$9,"Pos #",Scores!B$6:BY$6,"League")</f>
        <v>16</v>
      </c>
      <c r="Z10" s="299">
        <f t="shared" si="6"/>
        <v>48.5</v>
      </c>
      <c r="AA10" s="300">
        <f>COUNTIFS(Scores!O14:CL14, "Tote",Scores!N$5:CK$5,"Away")</f>
        <v>2</v>
      </c>
      <c r="AB10" s="301">
        <f t="shared" si="7"/>
        <v>2</v>
      </c>
      <c r="AC10" s="107"/>
      <c r="AD10" s="88">
        <f>SUMIFS(Scores!D14:CA14,Scores!D$9:CA$9,"Score")</f>
        <v>918</v>
      </c>
      <c r="AE10" s="17">
        <f>COUNTIFS(Scores!B14:BY14, "&gt;0",Scores!B$9:BY$9,"Pos #")</f>
        <v>19</v>
      </c>
      <c r="AF10" s="18">
        <f t="shared" si="8"/>
        <v>48.3</v>
      </c>
      <c r="AG10" s="19">
        <f>COUNTIF(Scores!B14:CA14, "Tote")</f>
        <v>4</v>
      </c>
      <c r="AH10" s="73">
        <f t="shared" si="9"/>
        <v>2</v>
      </c>
      <c r="AK10" s="89"/>
      <c r="AL10" s="89"/>
    </row>
    <row r="11" spans="1:38" ht="15.75" x14ac:dyDescent="0.25">
      <c r="A11" s="28" t="str">
        <f>IF(+Scores!A15&lt;&gt;0, +Scores!A15,"")</f>
        <v>John B</v>
      </c>
      <c r="B11" s="45"/>
      <c r="C11" s="339">
        <f>MAX(Scores!B15:CA15)</f>
        <v>55</v>
      </c>
      <c r="D11" s="339">
        <f>COUNTIF(Scores!B15:CA15,"Tote")</f>
        <v>1</v>
      </c>
      <c r="E11" s="45"/>
      <c r="F11" s="99">
        <f>SUMIFS(Scores!D15:CA15,Scores!D$9:CA$9,"Score",Scores!B$5:BY$5,"Home")</f>
        <v>273</v>
      </c>
      <c r="G11" s="100">
        <f>COUNTIFS(Scores!B15:BY15, "&gt;0",Scores!B$9:BY$9,"Pos #",Scores!B$5:BY$5,"Home")</f>
        <v>6</v>
      </c>
      <c r="H11" s="101">
        <f t="shared" si="0"/>
        <v>45.5</v>
      </c>
      <c r="I11" s="102">
        <f>COUNTIFS(Scores!C15:BZ15, "Tote",Scores!B$5:BY$5,"Home")</f>
        <v>0</v>
      </c>
      <c r="J11" s="103">
        <f t="shared" si="1"/>
        <v>8</v>
      </c>
      <c r="K11" s="104"/>
      <c r="L11" s="105">
        <f>SUMIFS(Scores!D15:CA15,Scores!D$9:CA$9,"Score",Scores!B$5:BY$5,"Away")</f>
        <v>370</v>
      </c>
      <c r="M11" s="129">
        <f>COUNTIFS(Scores!B15:BY15, "&gt;0",Scores!B$9:BY$9,"Pos #",Scores!B$5:BY$5,"Away")</f>
        <v>8</v>
      </c>
      <c r="N11" s="16">
        <f t="shared" si="2"/>
        <v>46.3</v>
      </c>
      <c r="O11" s="106">
        <f>COUNTIFS(Scores!C15:BZ15, "Tote",Scores!B$5:BY$5,"Away")</f>
        <v>1</v>
      </c>
      <c r="P11" s="63">
        <f t="shared" si="3"/>
        <v>5</v>
      </c>
      <c r="Q11" s="107"/>
      <c r="R11" s="254">
        <f>SUMIFS(Scores!D15:CA15,Scores!D$9:CA$9,"Score",Scores!B$6:BY$6,"Cup")</f>
        <v>90</v>
      </c>
      <c r="S11" s="327">
        <f>COUNTIFS(Scores!B15:BY15, "&gt;0",Scores!B$9:BY$9,"Pos #",Scores!B$6:BY$6,"Cup")</f>
        <v>2</v>
      </c>
      <c r="T11" s="258">
        <f t="shared" si="4"/>
        <v>45</v>
      </c>
      <c r="U11" s="259">
        <f>COUNTIFS(Scores!O15:CL15, "Tote",Scores!N$5:CK$5,"Home")</f>
        <v>0</v>
      </c>
      <c r="V11" s="260">
        <f t="shared" si="5"/>
        <v>5</v>
      </c>
      <c r="W11" s="104"/>
      <c r="X11" s="332">
        <f>SUMIFS(Scores!D15:CA15,Scores!D$9:CA$9,"Score",Scores!B$6:BY$6,"League")</f>
        <v>553</v>
      </c>
      <c r="Y11" s="333">
        <f>COUNTIFS(Scores!B15:BY15, "&gt;0",Scores!B$9:BY$9,"Pos #",Scores!B$6:BY$6,"League")</f>
        <v>12</v>
      </c>
      <c r="Z11" s="299">
        <f t="shared" si="6"/>
        <v>46.1</v>
      </c>
      <c r="AA11" s="300">
        <f>COUNTIFS(Scores!O15:CL15, "Tote",Scores!N$5:CK$5,"Away")</f>
        <v>1</v>
      </c>
      <c r="AB11" s="301">
        <f t="shared" si="7"/>
        <v>5</v>
      </c>
      <c r="AC11" s="107"/>
      <c r="AD11" s="88">
        <f>SUMIFS(Scores!D15:CA15,Scores!D$9:CA$9,"Score")</f>
        <v>643</v>
      </c>
      <c r="AE11" s="17">
        <f>COUNTIFS(Scores!B15:BY15, "&gt;0",Scores!B$9:BY$9,"Pos #")</f>
        <v>14</v>
      </c>
      <c r="AF11" s="18">
        <f t="shared" si="8"/>
        <v>45.9</v>
      </c>
      <c r="AG11" s="19">
        <f>COUNTIF(Scores!B15:CA15, "Tote")</f>
        <v>1</v>
      </c>
      <c r="AH11" s="73">
        <f t="shared" si="9"/>
        <v>6</v>
      </c>
      <c r="AK11" s="89"/>
      <c r="AL11" s="89"/>
    </row>
    <row r="12" spans="1:38" ht="15.75" x14ac:dyDescent="0.25">
      <c r="A12" s="28" t="str">
        <f>IF(+Scores!A16&lt;&gt;0, +Scores!A16,"")</f>
        <v>Rod</v>
      </c>
      <c r="B12" s="45"/>
      <c r="C12" s="339">
        <f>MAX(Scores!B16:CA16)</f>
        <v>57</v>
      </c>
      <c r="D12" s="339">
        <f>COUNTIF(Scores!B16:CA16,"Tote")</f>
        <v>2</v>
      </c>
      <c r="E12" s="45"/>
      <c r="F12" s="99">
        <f>SUMIFS(Scores!D16:CA16,Scores!D$9:CA$9,"Score",Scores!B$5:BY$5,"Home")</f>
        <v>351</v>
      </c>
      <c r="G12" s="100">
        <f>COUNTIFS(Scores!B16:BY16, "&gt;0",Scores!B$9:BY$9,"Pos #",Scores!B$5:BY$5,"Home")</f>
        <v>8</v>
      </c>
      <c r="H12" s="101">
        <f t="shared" si="0"/>
        <v>43.9</v>
      </c>
      <c r="I12" s="102">
        <f>COUNTIFS(Scores!C16:BZ16, "Tote",Scores!B$5:BY$5,"Home")</f>
        <v>1</v>
      </c>
      <c r="J12" s="103">
        <f t="shared" si="1"/>
        <v>11</v>
      </c>
      <c r="K12" s="104"/>
      <c r="L12" s="105">
        <f>SUMIFS(Scores!D16:CA16,Scores!D$9:CA$9,"Score",Scores!B$5:BY$5,"Away")</f>
        <v>318</v>
      </c>
      <c r="M12" s="129">
        <f>COUNTIFS(Scores!B16:BY16, "&gt;0",Scores!B$9:BY$9,"Pos #",Scores!B$5:BY$5,"Away")</f>
        <v>7</v>
      </c>
      <c r="N12" s="16">
        <f t="shared" si="2"/>
        <v>45.4</v>
      </c>
      <c r="O12" s="106">
        <f>COUNTIFS(Scores!C16:BZ16, "Tote",Scores!B$5:BY$5,"Away")</f>
        <v>1</v>
      </c>
      <c r="P12" s="63">
        <f t="shared" si="3"/>
        <v>6</v>
      </c>
      <c r="Q12" s="107"/>
      <c r="R12" s="254">
        <f>SUMIFS(Scores!D16:CA16,Scores!D$9:CA$9,"Score",Scores!B$6:BY$6,"Cup")</f>
        <v>92</v>
      </c>
      <c r="S12" s="327">
        <f>COUNTIFS(Scores!B16:BY16, "&gt;0",Scores!B$9:BY$9,"Pos #",Scores!B$6:BY$6,"Cup")</f>
        <v>2</v>
      </c>
      <c r="T12" s="258">
        <f t="shared" si="4"/>
        <v>46</v>
      </c>
      <c r="U12" s="259">
        <f>COUNTIFS(Scores!O16:CL16, "Tote",Scores!N$5:CK$5,"Home")</f>
        <v>1</v>
      </c>
      <c r="V12" s="260">
        <f t="shared" si="5"/>
        <v>3</v>
      </c>
      <c r="W12" s="104"/>
      <c r="X12" s="332">
        <f>SUMIFS(Scores!D17:CA17,Scores!D$9:CA$9,"Score",Scores!B$6:BY$6,"League")</f>
        <v>442</v>
      </c>
      <c r="Y12" s="333">
        <f>COUNTIFS(Scores!B17:BY17, "&gt;0",Scores!B$9:BY$9,"Pos #",Scores!B$6:BY$6,"League")</f>
        <v>10</v>
      </c>
      <c r="Z12" s="299">
        <f t="shared" si="6"/>
        <v>44.2</v>
      </c>
      <c r="AA12" s="300">
        <f>COUNTIFS(Scores!O16:CL16, "Tote",Scores!N$5:CK$5,"Away")</f>
        <v>0</v>
      </c>
      <c r="AB12" s="301">
        <f t="shared" si="7"/>
        <v>10</v>
      </c>
      <c r="AC12" s="107"/>
      <c r="AD12" s="88">
        <f>SUMIFS(Scores!D16:CA16,Scores!D$9:CA$9,"Score")</f>
        <v>669</v>
      </c>
      <c r="AE12" s="17">
        <f>COUNTIFS(Scores!B16:BY16, "&gt;0",Scores!B$9:BY$9,"Pos #")</f>
        <v>15</v>
      </c>
      <c r="AF12" s="18">
        <f t="shared" si="8"/>
        <v>44.6</v>
      </c>
      <c r="AG12" s="19">
        <f>COUNTIF(Scores!B16:CA16, "Tote")</f>
        <v>2</v>
      </c>
      <c r="AH12" s="73">
        <f t="shared" si="9"/>
        <v>8</v>
      </c>
      <c r="AK12" s="89"/>
      <c r="AL12" s="89"/>
    </row>
    <row r="13" spans="1:38" ht="15.75" x14ac:dyDescent="0.25">
      <c r="A13" s="28" t="str">
        <f>IF(+Scores!A17&lt;&gt;0, +Scores!A17,"")</f>
        <v>Rich W</v>
      </c>
      <c r="B13" s="45"/>
      <c r="C13" s="339">
        <f>MAX(Scores!B17:CA17)</f>
        <v>60</v>
      </c>
      <c r="D13" s="339">
        <f>COUNTIF(Scores!B17:CA17,"Tote")</f>
        <v>4</v>
      </c>
      <c r="E13" s="45"/>
      <c r="F13" s="99">
        <f>SUMIFS(Scores!D17:CA17,Scores!D$9:CA$9,"Score",Scores!B$5:BY$5,"Home")</f>
        <v>291</v>
      </c>
      <c r="G13" s="100">
        <f>COUNTIFS(Scores!B17:BY17, "&gt;0",Scores!B$9:BY$9,"Pos #",Scores!B$5:BY$5,"Home")</f>
        <v>7</v>
      </c>
      <c r="H13" s="101">
        <f t="shared" si="0"/>
        <v>41.6</v>
      </c>
      <c r="I13" s="102">
        <f>COUNTIFS(Scores!C17:BZ17, "Tote",Scores!B$5:BY$5,"Home")</f>
        <v>2</v>
      </c>
      <c r="J13" s="103">
        <f t="shared" si="1"/>
        <v>14</v>
      </c>
      <c r="K13" s="104"/>
      <c r="L13" s="105">
        <f>SUMIFS(Scores!D17:CA17,Scores!D$9:CA$9,"Score",Scores!B$5:BY$5,"Away")</f>
        <v>281</v>
      </c>
      <c r="M13" s="129">
        <f>COUNTIFS(Scores!B17:BY17, "&gt;0",Scores!B$9:BY$9,"Pos #",Scores!B$5:BY$5,"Away")</f>
        <v>6</v>
      </c>
      <c r="N13" s="16">
        <f t="shared" si="2"/>
        <v>46.8</v>
      </c>
      <c r="O13" s="106">
        <f>COUNTIFS(Scores!C17:BZ17, "Tote",Scores!B$5:BY$5,"Away")</f>
        <v>2</v>
      </c>
      <c r="P13" s="63">
        <f t="shared" si="3"/>
        <v>3</v>
      </c>
      <c r="Q13" s="107"/>
      <c r="R13" s="254">
        <f>SUMIFS(Scores!D17:CA17,Scores!D$9:CA$9,"Score",Scores!B$6:BY$6,"Cup")</f>
        <v>130</v>
      </c>
      <c r="S13" s="327">
        <f>COUNTIFS(Scores!B17:BY17, "&gt;0",Scores!B$9:BY$9,"Pos #",Scores!B$6:BY$6,"Cup")</f>
        <v>3</v>
      </c>
      <c r="T13" s="258">
        <f t="shared" si="4"/>
        <v>43.3</v>
      </c>
      <c r="U13" s="259">
        <f>COUNTIFS(Scores!O17:CL17, "Tote",Scores!N$5:CK$5,"Home")</f>
        <v>1</v>
      </c>
      <c r="V13" s="260">
        <f t="shared" si="5"/>
        <v>7.5</v>
      </c>
      <c r="W13" s="104"/>
      <c r="X13" s="332">
        <f>SUMIFS(Scores!D17:CA17,Scores!D$9:CA$9,"Score",Scores!B$6:BY$6,"League")</f>
        <v>442</v>
      </c>
      <c r="Y13" s="333">
        <f>COUNTIFS(Scores!B17:BY17, "&gt;0",Scores!B$9:BY$9,"Pos #",Scores!B$6:BY$6,"League")</f>
        <v>10</v>
      </c>
      <c r="Z13" s="299">
        <f t="shared" si="6"/>
        <v>44.2</v>
      </c>
      <c r="AA13" s="300">
        <f>COUNTIFS(Scores!O17:CL17, "Tote",Scores!N$5:CK$5,"Away")</f>
        <v>1</v>
      </c>
      <c r="AB13" s="301">
        <f t="shared" si="7"/>
        <v>10</v>
      </c>
      <c r="AC13" s="107"/>
      <c r="AD13" s="88">
        <f>SUMIFS(Scores!D17:CA17,Scores!D$9:CA$9,"Score")</f>
        <v>572</v>
      </c>
      <c r="AE13" s="17">
        <f>COUNTIFS(Scores!B17:BY17, "&gt;0",Scores!B$9:BY$9,"Pos #")</f>
        <v>13</v>
      </c>
      <c r="AF13" s="18">
        <f t="shared" si="8"/>
        <v>44</v>
      </c>
      <c r="AG13" s="19">
        <f>COUNTIF(Scores!B17:CA17, "Tote")</f>
        <v>4</v>
      </c>
      <c r="AH13" s="73">
        <f t="shared" si="9"/>
        <v>10.5</v>
      </c>
      <c r="AK13" s="89"/>
      <c r="AL13" s="89"/>
    </row>
    <row r="14" spans="1:38" ht="15.75" x14ac:dyDescent="0.25">
      <c r="A14" s="28" t="str">
        <f>IF(+Scores!A18&lt;&gt;0, +Scores!A18,"")</f>
        <v>Pete P</v>
      </c>
      <c r="B14" s="45"/>
      <c r="C14" s="339">
        <f>MAX(Scores!B18:CA18)</f>
        <v>49</v>
      </c>
      <c r="D14" s="339">
        <f>COUNTIF(Scores!B18:CA18,"Tote")</f>
        <v>0</v>
      </c>
      <c r="E14" s="45"/>
      <c r="F14" s="99">
        <f>SUMIFS(Scores!D18:CA18,Scores!D$9:CA$9,"Score",Scores!B$5:BY$5,"Home")</f>
        <v>346</v>
      </c>
      <c r="G14" s="100">
        <f>COUNTIFS(Scores!B18:BY18, "&gt;0",Scores!B$9:BY$9,"Pos #",Scores!B$5:BY$5,"Home")</f>
        <v>8</v>
      </c>
      <c r="H14" s="101">
        <f t="shared" si="0"/>
        <v>43.3</v>
      </c>
      <c r="I14" s="102">
        <f>COUNTIFS(Scores!C18:BZ18, "Tote",Scores!B$5:BY$5,"Home")</f>
        <v>0</v>
      </c>
      <c r="J14" s="103">
        <f t="shared" si="1"/>
        <v>12</v>
      </c>
      <c r="K14" s="104"/>
      <c r="L14" s="105">
        <f>SUMIFS(Scores!D18:CA18,Scores!D$9:CA$9,"Score",Scores!B$5:BY$5,"Away")</f>
        <v>198</v>
      </c>
      <c r="M14" s="129">
        <f>COUNTIFS(Scores!B18:BY18, "&gt;0",Scores!B$9:BY$9,"Pos #",Scores!B$5:BY$5,"Away")</f>
        <v>5</v>
      </c>
      <c r="N14" s="16">
        <f t="shared" si="2"/>
        <v>39.6</v>
      </c>
      <c r="O14" s="106">
        <f>COUNTIFS(Scores!C18:BZ18, "Tote",Scores!B$5:BY$5,"Away")</f>
        <v>0</v>
      </c>
      <c r="P14" s="63">
        <f t="shared" si="3"/>
        <v>11</v>
      </c>
      <c r="Q14" s="107"/>
      <c r="R14" s="254">
        <f>SUMIFS(Scores!D18:CA18,Scores!D$9:CA$9,"Score",Scores!B$6:BY$6,"Cup")</f>
        <v>38</v>
      </c>
      <c r="S14" s="327">
        <f>COUNTIFS(Scores!B18:BY18, "&gt;0",Scores!B$9:BY$9,"Pos #",Scores!B$6:BY$6,"Cup")</f>
        <v>1</v>
      </c>
      <c r="T14" s="258">
        <f t="shared" si="4"/>
        <v>38</v>
      </c>
      <c r="U14" s="259">
        <f>COUNTIFS(Scores!O18:CL18, "Tote",Scores!N$5:CK$5,"Home")</f>
        <v>0</v>
      </c>
      <c r="V14" s="260">
        <f t="shared" si="5"/>
        <v>10</v>
      </c>
      <c r="W14" s="104"/>
      <c r="X14" s="332">
        <f>SUMIFS(Scores!D18:CA18,Scores!D$9:CA$9,"Score",Scores!B$6:BY$6,"League")</f>
        <v>506</v>
      </c>
      <c r="Y14" s="333">
        <f>COUNTIFS(Scores!B18:BY18, "&gt;0",Scores!B$9:BY$9,"Pos #",Scores!B$6:BY$6,"League")</f>
        <v>12</v>
      </c>
      <c r="Z14" s="299">
        <f t="shared" si="6"/>
        <v>42.2</v>
      </c>
      <c r="AA14" s="300">
        <f>COUNTIFS(Scores!O18:CL18, "Tote",Scores!N$5:CK$5,"Away")</f>
        <v>0</v>
      </c>
      <c r="AB14" s="301">
        <f t="shared" si="7"/>
        <v>13</v>
      </c>
      <c r="AC14" s="107"/>
      <c r="AD14" s="88">
        <f>SUMIFS(Scores!D18:CA18,Scores!D$9:CA$9,"Score")</f>
        <v>544</v>
      </c>
      <c r="AE14" s="17">
        <f>COUNTIFS(Scores!B18:BY18, "&gt;0",Scores!B$9:BY$9,"Pos #")</f>
        <v>13</v>
      </c>
      <c r="AF14" s="18">
        <f t="shared" si="8"/>
        <v>41.8</v>
      </c>
      <c r="AG14" s="19">
        <f>COUNTIF(Scores!B18:CA18, "Tote")</f>
        <v>0</v>
      </c>
      <c r="AH14" s="73">
        <f t="shared" si="9"/>
        <v>14</v>
      </c>
      <c r="AK14" s="89"/>
      <c r="AL14" s="89"/>
    </row>
    <row r="15" spans="1:38" ht="15.75" x14ac:dyDescent="0.25">
      <c r="A15" s="28" t="str">
        <f>IF(+Scores!A19&lt;&gt;0, +Scores!A19,"")</f>
        <v>Trevor D</v>
      </c>
      <c r="B15" s="45"/>
      <c r="C15" s="339">
        <f>MAX(Scores!B19:CA19)</f>
        <v>59</v>
      </c>
      <c r="D15" s="339">
        <f>COUNTIF(Scores!B19:CA19,"Tote")</f>
        <v>2</v>
      </c>
      <c r="E15" s="45"/>
      <c r="F15" s="99">
        <f>SUMIFS(Scores!D19:CA19,Scores!D$9:CA$9,"Score",Scores!B$5:BY$5,"Home")</f>
        <v>415</v>
      </c>
      <c r="G15" s="100">
        <f>COUNTIFS(Scores!B19:BY19, "&gt;0",Scores!B$9:BY$9,"Pos #",Scores!B$5:BY$5,"Home")</f>
        <v>9</v>
      </c>
      <c r="H15" s="101">
        <f t="shared" si="0"/>
        <v>46.1</v>
      </c>
      <c r="I15" s="102">
        <f>COUNTIFS(Scores!C19:BZ19, "Tote",Scores!B$5:BY$5,"Home")</f>
        <v>2</v>
      </c>
      <c r="J15" s="103">
        <f t="shared" si="1"/>
        <v>6</v>
      </c>
      <c r="K15" s="104"/>
      <c r="L15" s="105">
        <f>SUMIFS(Scores!D19:CA19,Scores!D$9:CA$9,"Score",Scores!B$5:BY$5,"Away")</f>
        <v>262</v>
      </c>
      <c r="M15" s="129">
        <f>COUNTIFS(Scores!B19:BY19, "&gt;0",Scores!B$9:BY$9,"Pos #",Scores!B$5:BY$5,"Away")</f>
        <v>6</v>
      </c>
      <c r="N15" s="16">
        <f t="shared" si="2"/>
        <v>43.7</v>
      </c>
      <c r="O15" s="106">
        <f>COUNTIFS(Scores!C19:BZ19, "Tote",Scores!B$5:BY$5,"Away")</f>
        <v>0</v>
      </c>
      <c r="P15" s="63">
        <f t="shared" si="3"/>
        <v>9</v>
      </c>
      <c r="Q15" s="107"/>
      <c r="R15" s="254">
        <f>SUMIFS(Scores!D19:CA19,Scores!D$9:CA$9,"Score",Scores!B$6:BY$6,"Cup")</f>
        <v>127</v>
      </c>
      <c r="S15" s="327">
        <f>COUNTIFS(Scores!B19:BY19, "&gt;0",Scores!B$9:BY$9,"Pos #",Scores!B$6:BY$6,"Cup")</f>
        <v>3</v>
      </c>
      <c r="T15" s="258">
        <f t="shared" si="4"/>
        <v>42.3</v>
      </c>
      <c r="U15" s="259">
        <f>COUNTIFS(Scores!O19:CL19, "Tote",Scores!N$5:CK$5,"Home")</f>
        <v>1</v>
      </c>
      <c r="V15" s="260">
        <f t="shared" si="5"/>
        <v>9</v>
      </c>
      <c r="W15" s="104"/>
      <c r="X15" s="332">
        <f>SUMIFS(Scores!D19:CA19,Scores!D$9:CA$9,"Score",Scores!B$6:BY$6,"League")</f>
        <v>550</v>
      </c>
      <c r="Y15" s="333">
        <f>COUNTIFS(Scores!B19:BY19, "&gt;0",Scores!B$9:BY$9,"Pos #",Scores!B$6:BY$6,"League")</f>
        <v>12</v>
      </c>
      <c r="Z15" s="299">
        <f t="shared" si="6"/>
        <v>45.8</v>
      </c>
      <c r="AA15" s="300">
        <f>COUNTIFS(Scores!O19:CL19, "Tote",Scores!N$5:CK$5,"Away")</f>
        <v>0</v>
      </c>
      <c r="AB15" s="301">
        <f t="shared" si="7"/>
        <v>7</v>
      </c>
      <c r="AC15" s="107"/>
      <c r="AD15" s="88">
        <f>SUMIFS(Scores!D19:CA19,Scores!D$9:CA$9,"Score")</f>
        <v>677</v>
      </c>
      <c r="AE15" s="17">
        <f>COUNTIFS(Scores!B19:BY19, "&gt;0",Scores!B$9:BY$9,"Pos #")</f>
        <v>15</v>
      </c>
      <c r="AF15" s="18">
        <f t="shared" si="8"/>
        <v>45.1</v>
      </c>
      <c r="AG15" s="19">
        <f>COUNTIF(Scores!B19:CA19, "Tote")</f>
        <v>2</v>
      </c>
      <c r="AH15" s="73">
        <f t="shared" si="9"/>
        <v>7</v>
      </c>
      <c r="AK15" s="89"/>
      <c r="AL15" s="89"/>
    </row>
    <row r="16" spans="1:38" ht="15.75" x14ac:dyDescent="0.25">
      <c r="A16" s="28" t="str">
        <f>IF(+Scores!A20&lt;&gt;0, +Scores!A20,"")</f>
        <v>Steve L</v>
      </c>
      <c r="B16" s="45"/>
      <c r="C16" s="339">
        <f>MAX(Scores!B20:CA20)</f>
        <v>65</v>
      </c>
      <c r="D16" s="339">
        <f>COUNTIF(Scores!B20:CA20,"Tote")</f>
        <v>4</v>
      </c>
      <c r="E16" s="45"/>
      <c r="F16" s="99">
        <f>SUMIFS(Scores!D20:CA20,Scores!D$9:CA$9,"Score",Scores!B$5:BY$5,"Home")</f>
        <v>484</v>
      </c>
      <c r="G16" s="100">
        <f>COUNTIFS(Scores!B20:BY20, "&gt;0",Scores!B$9:BY$9,"Pos #",Scores!B$5:BY$5,"Home")</f>
        <v>10</v>
      </c>
      <c r="H16" s="101">
        <f t="shared" si="0"/>
        <v>48.4</v>
      </c>
      <c r="I16" s="102">
        <f>COUNTIFS(Scores!C20:BZ20, "Tote",Scores!B$5:BY$5,"Home")</f>
        <v>3</v>
      </c>
      <c r="J16" s="103">
        <f t="shared" si="1"/>
        <v>2</v>
      </c>
      <c r="K16" s="104"/>
      <c r="L16" s="105">
        <f>SUMIFS(Scores!D20:CA20,Scores!D$9:CA$9,"Score",Scores!B$5:BY$5,"Away")</f>
        <v>347</v>
      </c>
      <c r="M16" s="129">
        <f>COUNTIFS(Scores!B20:BY20, "&gt;0",Scores!B$9:BY$9,"Pos #",Scores!B$5:BY$5,"Away")</f>
        <v>8</v>
      </c>
      <c r="N16" s="16">
        <f t="shared" si="2"/>
        <v>43.4</v>
      </c>
      <c r="O16" s="106">
        <f>COUNTIFS(Scores!C20:BZ20, "Tote",Scores!B$5:BY$5,"Away")</f>
        <v>1</v>
      </c>
      <c r="P16" s="63">
        <f t="shared" si="3"/>
        <v>10</v>
      </c>
      <c r="Q16" s="107"/>
      <c r="R16" s="254">
        <f>SUMIFS(Scores!D20:CA20,Scores!D$9:CA$9,"Score",Scores!B$6:BY$6,"Cup")</f>
        <v>137</v>
      </c>
      <c r="S16" s="327">
        <f>COUNTIFS(Scores!B20:BY20, "&gt;0",Scores!B$9:BY$9,"Pos #",Scores!B$6:BY$6,"Cup")</f>
        <v>3</v>
      </c>
      <c r="T16" s="258">
        <f t="shared" si="4"/>
        <v>45.7</v>
      </c>
      <c r="U16" s="259">
        <f>COUNTIFS(Scores!O20:CL20, "Tote",Scores!N$5:CK$5,"Home")</f>
        <v>3</v>
      </c>
      <c r="V16" s="260">
        <f t="shared" si="5"/>
        <v>4</v>
      </c>
      <c r="W16" s="104"/>
      <c r="X16" s="332">
        <f>SUMIFS(Scores!D20:CA20,Scores!D$9:CA$9,"Score",Scores!B$6:BY$6,"League")</f>
        <v>694</v>
      </c>
      <c r="Y16" s="333">
        <f>COUNTIFS(Scores!B20:BY20, "&gt;0",Scores!B$9:BY$9,"Pos #",Scores!B$6:BY$6,"League")</f>
        <v>15</v>
      </c>
      <c r="Z16" s="299">
        <f t="shared" si="6"/>
        <v>46.3</v>
      </c>
      <c r="AA16" s="300">
        <f>COUNTIFS(Scores!O20:CL20, "Tote",Scores!N$5:CK$5,"Away")</f>
        <v>1</v>
      </c>
      <c r="AB16" s="301">
        <f t="shared" si="7"/>
        <v>3</v>
      </c>
      <c r="AC16" s="107"/>
      <c r="AD16" s="88">
        <f>SUMIFS(Scores!D20:CA20,Scores!D$9:CA$9,"Score")</f>
        <v>831</v>
      </c>
      <c r="AE16" s="17">
        <f>COUNTIFS(Scores!B20:BY20, "&gt;0",Scores!B$9:BY$9,"Pos #")</f>
        <v>18</v>
      </c>
      <c r="AF16" s="18">
        <f t="shared" si="8"/>
        <v>46.2</v>
      </c>
      <c r="AG16" s="19">
        <f>COUNTIF(Scores!B20:CA20, "Tote")</f>
        <v>4</v>
      </c>
      <c r="AH16" s="73">
        <f t="shared" si="9"/>
        <v>4</v>
      </c>
      <c r="AK16" s="89"/>
      <c r="AL16" s="89"/>
    </row>
    <row r="17" spans="1:38" ht="15.75" x14ac:dyDescent="0.25">
      <c r="A17" s="28" t="str">
        <f>IF(+Scores!A21&lt;&gt;0, +Scores!A21,"")</f>
        <v>Stewart D</v>
      </c>
      <c r="B17" s="45"/>
      <c r="C17" s="339">
        <f>MAX(Scores!B21:CA21)</f>
        <v>52</v>
      </c>
      <c r="D17" s="339">
        <f>COUNTIF(Scores!B21:CA21,"Tote")</f>
        <v>0</v>
      </c>
      <c r="E17" s="45"/>
      <c r="F17" s="99">
        <f>SUMIFS(Scores!D21:CA21,Scores!D$9:CA$9,"Score",Scores!B$5:BY$5,"Home")</f>
        <v>140</v>
      </c>
      <c r="G17" s="100">
        <f>COUNTIFS(Scores!B21:BY21, "&gt;0",Scores!B$9:BY$9,"Pos #",Scores!B$5:BY$5,"Home")</f>
        <v>3</v>
      </c>
      <c r="H17" s="101">
        <f t="shared" si="0"/>
        <v>46.7</v>
      </c>
      <c r="I17" s="102">
        <f>COUNTIFS(Scores!C21:BZ21, "Tote",Scores!B$5:BY$5,"Home")</f>
        <v>0</v>
      </c>
      <c r="J17" s="103">
        <f t="shared" si="1"/>
        <v>5</v>
      </c>
      <c r="K17" s="104"/>
      <c r="L17" s="105">
        <f>SUMIFS(Scores!D21:CA21,Scores!D$9:CA$9,"Score",Scores!B$5:BY$5,"Away")</f>
        <v>34</v>
      </c>
      <c r="M17" s="129">
        <f>COUNTIFS(Scores!B21:BY21, "&gt;0",Scores!B$9:BY$9,"Pos #",Scores!B$5:BY$5,"Away")</f>
        <v>1</v>
      </c>
      <c r="N17" s="16">
        <f t="shared" si="2"/>
        <v>34</v>
      </c>
      <c r="O17" s="106">
        <f>COUNTIFS(Scores!C21:BZ21, "Tote",Scores!B$5:BY$5,"Away")</f>
        <v>0</v>
      </c>
      <c r="P17" s="63">
        <f t="shared" si="3"/>
        <v>12</v>
      </c>
      <c r="Q17" s="107"/>
      <c r="R17" s="254">
        <f>SUMIFS(Scores!D21:CA21,Scores!D$9:CA$9,"Score",Scores!B$6:BY$6,"Cup")</f>
        <v>0</v>
      </c>
      <c r="S17" s="327">
        <f>COUNTIFS(Scores!B21:BY21, "&gt;0",Scores!B$9:BY$9,"Pos #",Scores!B$6:BY$6,"Cup")</f>
        <v>0</v>
      </c>
      <c r="T17" s="258" t="str">
        <f t="shared" si="4"/>
        <v/>
      </c>
      <c r="U17" s="259">
        <f>COUNTIFS(Scores!O21:CL21, "Tote",Scores!N$5:CK$5,"Home")</f>
        <v>0</v>
      </c>
      <c r="V17" s="260" t="str">
        <f>IF(ISNUMBER(T17),_xlfn.RANK.AVG(T17,T$7:T$21,0),"")</f>
        <v/>
      </c>
      <c r="W17" s="104"/>
      <c r="X17" s="332">
        <f>SUMIFS(Scores!D21:CA21,Scores!D$9:CA$9,"Score",Scores!B$6:BY$6,"League")</f>
        <v>174</v>
      </c>
      <c r="Y17" s="333">
        <f>COUNTIFS(Scores!B21:BY21, "&gt;0",Scores!B$9:BY$9,"Pos #",Scores!B$6:BY$6,"League")</f>
        <v>4</v>
      </c>
      <c r="Z17" s="299">
        <f t="shared" si="6"/>
        <v>43.5</v>
      </c>
      <c r="AA17" s="300">
        <f>COUNTIFS(Scores!O21:CL21, "Tote",Scores!N$5:CK$5,"Away")</f>
        <v>0</v>
      </c>
      <c r="AB17" s="301">
        <f t="shared" si="7"/>
        <v>12</v>
      </c>
      <c r="AC17" s="107"/>
      <c r="AD17" s="88">
        <f>SUMIFS(Scores!D21:CA21,Scores!D$9:CA$9,"Score")</f>
        <v>174</v>
      </c>
      <c r="AE17" s="17">
        <f>COUNTIFS(Scores!B21:BY21, "&gt;0",Scores!B$9:BY$9,"Pos #")</f>
        <v>4</v>
      </c>
      <c r="AF17" s="18">
        <f t="shared" si="8"/>
        <v>43.5</v>
      </c>
      <c r="AG17" s="19">
        <f>COUNTIF(Scores!B21:CA21, "Tote")</f>
        <v>0</v>
      </c>
      <c r="AH17" s="73">
        <f t="shared" si="9"/>
        <v>12</v>
      </c>
      <c r="AL17" s="89"/>
    </row>
    <row r="18" spans="1:38" ht="15.75" x14ac:dyDescent="0.25">
      <c r="A18" s="28" t="str">
        <f>IF(+Scores!A22&lt;&gt;0, +Scores!A22,"")</f>
        <v>Steve Bloomer</v>
      </c>
      <c r="B18" s="45"/>
      <c r="C18" s="339">
        <f>MAX(Scores!B22:CA22)</f>
        <v>49</v>
      </c>
      <c r="D18" s="339">
        <f>COUNTIF(Scores!B22:CA22,"Tote")</f>
        <v>0</v>
      </c>
      <c r="E18" s="45"/>
      <c r="F18" s="99">
        <f>SUMIFS(Scores!D22:CA22,Scores!D$9:CA$9,"Score",Scores!B$5:BY$5,"Home")</f>
        <v>92</v>
      </c>
      <c r="G18" s="100">
        <f>COUNTIFS(Scores!B22:BY22, "&gt;0",Scores!B$9:BY$9,"Pos #",Scores!B$5:BY$5,"Home")</f>
        <v>2</v>
      </c>
      <c r="H18" s="101">
        <f t="shared" si="0"/>
        <v>46</v>
      </c>
      <c r="I18" s="102">
        <f>COUNTIFS(Scores!C22:BZ22, "Tote",Scores!B$5:BY$5,"Home")</f>
        <v>0</v>
      </c>
      <c r="J18" s="103">
        <f t="shared" si="1"/>
        <v>7</v>
      </c>
      <c r="K18" s="104"/>
      <c r="L18" s="105">
        <f>SUMIFS(Scores!D22:CA22,Scores!D$9:CA$9,"Score",Scores!B$5:BY$5,"Away")</f>
        <v>0</v>
      </c>
      <c r="M18" s="129">
        <f>COUNTIFS(Scores!B22:BY22, "&gt;0",Scores!B$9:BY$9,"Pos #",Scores!B$5:BY$5,"Away")</f>
        <v>0</v>
      </c>
      <c r="N18" s="16" t="str">
        <f t="shared" si="2"/>
        <v/>
      </c>
      <c r="O18" s="106">
        <f>COUNTIFS(Scores!C22:BZ22, "Tote",Scores!B$5:BY$5,"Away")</f>
        <v>0</v>
      </c>
      <c r="P18" s="63" t="str">
        <f t="shared" si="3"/>
        <v/>
      </c>
      <c r="Q18" s="107"/>
      <c r="R18" s="254">
        <f>SUMIFS(Scores!D22:CA22,Scores!D$9:CA$9,"Score",Scores!B$6:BY$6,"Cup")</f>
        <v>0</v>
      </c>
      <c r="S18" s="327">
        <f>COUNTIFS(Scores!B22:BY22, "&gt;0",Scores!B$9:BY$9,"Pos #",Scores!B$6:BY$6,"Cup")</f>
        <v>0</v>
      </c>
      <c r="T18" s="258" t="str">
        <f t="shared" si="4"/>
        <v/>
      </c>
      <c r="U18" s="259">
        <f>COUNTIFS(Scores!O22:CL22, "Tote",Scores!N$5:CK$5,"Home")</f>
        <v>0</v>
      </c>
      <c r="V18" s="260" t="str">
        <f>IF(ISNUMBER(T18),_xlfn.RANK.AVG(T18,T$7:T$21,0),"")</f>
        <v/>
      </c>
      <c r="W18" s="104"/>
      <c r="X18" s="332">
        <f>SUMIFS(Scores!D22:CA22,Scores!D$9:CA$9,"Score",Scores!B$6:BY$6,"League")</f>
        <v>92</v>
      </c>
      <c r="Y18" s="333">
        <f>COUNTIFS(Scores!B22:BY22, "&gt;0",Scores!B$9:BY$9,"Pos #",Scores!B$6:BY$6,"League")</f>
        <v>2</v>
      </c>
      <c r="Z18" s="299">
        <f t="shared" si="6"/>
        <v>46</v>
      </c>
      <c r="AA18" s="300">
        <f>COUNTIFS(Scores!O22:CL22, "Tote",Scores!N$5:CK$5,"Away")</f>
        <v>0</v>
      </c>
      <c r="AB18" s="301">
        <f t="shared" si="7"/>
        <v>6</v>
      </c>
      <c r="AC18" s="107"/>
      <c r="AD18" s="88">
        <f>SUMIFS(Scores!D22:CA22,Scores!D$9:CA$9,"Score")</f>
        <v>92</v>
      </c>
      <c r="AE18" s="17">
        <f>COUNTIFS(Scores!B22:BY22, "&gt;0",Scores!B$9:BY$9,"Pos #")</f>
        <v>2</v>
      </c>
      <c r="AF18" s="18">
        <f t="shared" si="8"/>
        <v>46</v>
      </c>
      <c r="AG18" s="19">
        <f>COUNTIF(Scores!B22:CA22, "Tote")</f>
        <v>0</v>
      </c>
      <c r="AH18" s="73">
        <f t="shared" si="9"/>
        <v>5</v>
      </c>
    </row>
    <row r="19" spans="1:38" ht="15.75" x14ac:dyDescent="0.25">
      <c r="A19" s="28" t="str">
        <f>IF(+Scores!A23&lt;&gt;0, +Scores!A23,"")</f>
        <v>Callum Stewart</v>
      </c>
      <c r="B19" s="45"/>
      <c r="C19" s="339">
        <f>MAX(Scores!B23:CA23)</f>
        <v>39</v>
      </c>
      <c r="D19" s="339">
        <f>COUNTIF(Scores!B23:CA23,"Tote")</f>
        <v>0</v>
      </c>
      <c r="E19" s="45"/>
      <c r="F19" s="99">
        <f>SUMIFS(Scores!D23:CA23,Scores!D$9:CA$9,"Score",Scores!B$5:BY$5,"Home")</f>
        <v>39</v>
      </c>
      <c r="G19" s="100">
        <f>COUNTIFS(Scores!B23:BY23, "&gt;0",Scores!B$9:BY$9,"Pos #",Scores!B$5:BY$5,"Home")</f>
        <v>1</v>
      </c>
      <c r="H19" s="101">
        <f t="shared" ref="H19:H20" si="10">IF((G19&gt;0),ROUND(F19/G19,1),"")</f>
        <v>39</v>
      </c>
      <c r="I19" s="102">
        <f>COUNTIFS(Scores!C23:BZ23, "Tote",Scores!B$5:BY$5,"Home")</f>
        <v>0</v>
      </c>
      <c r="J19" s="103">
        <f t="shared" ref="J19:J20" si="11">IF(ISNUMBER(H19),_xlfn.RANK.AVG(H19,H$7:H$21,0),"")</f>
        <v>15</v>
      </c>
      <c r="K19" s="104"/>
      <c r="L19" s="105">
        <f>SUMIFS(Scores!D23:CA23,Scores!D$9:CA$9,"Score",Scores!B$5:BY$5,"Away")</f>
        <v>0</v>
      </c>
      <c r="M19" s="129">
        <f>COUNTIFS(Scores!B23:BY23, "&gt;0",Scores!B$9:BY$9,"Pos #",Scores!B$5:BY$5,"Away")</f>
        <v>0</v>
      </c>
      <c r="N19" s="16" t="str">
        <f t="shared" ref="N19:N20" si="12">IF((M19&gt;0),ROUND(L19/M19,1),"")</f>
        <v/>
      </c>
      <c r="O19" s="106">
        <f>COUNTIFS(Scores!C23:BZ23, "Tote",Scores!B$5:BY$5,"Away")</f>
        <v>0</v>
      </c>
      <c r="P19" s="63" t="str">
        <f t="shared" ref="P19:P20" si="13">IF(ISNUMBER(N19),_xlfn.RANK.AVG(N19,N$7:N$21,0),"")</f>
        <v/>
      </c>
      <c r="Q19" s="107"/>
      <c r="R19" s="254">
        <f>SUMIFS(Scores!D23:CA23,Scores!D$9:CA$9,"Score",Scores!B$6:BY$6,"Cup")</f>
        <v>0</v>
      </c>
      <c r="S19" s="327">
        <f>COUNTIFS(Scores!B23:BY23, "&gt;0",Scores!B$9:BY$9,"Pos #",Scores!B$6:BY$6,"Cup")</f>
        <v>0</v>
      </c>
      <c r="T19" s="258" t="str">
        <f t="shared" ref="T19:T20" si="14">IF((S19&gt;0),ROUND(R19/S19,1),"")</f>
        <v/>
      </c>
      <c r="U19" s="259">
        <f>COUNTIFS(Scores!O23:CL23, "Tote",Scores!N$5:CK$5,"Home")</f>
        <v>0</v>
      </c>
      <c r="V19" s="260" t="str">
        <f>IF(ISNUMBER(T19),_xlfn.RANK.AVG(T19,T$7:T$21,0),"")</f>
        <v/>
      </c>
      <c r="W19" s="104"/>
      <c r="X19" s="332">
        <f>SUMIFS(Scores!D23:CA23,Scores!D$9:CA$9,"Score",Scores!B$6:BY$6,"League")</f>
        <v>39</v>
      </c>
      <c r="Y19" s="333">
        <f>COUNTIFS(Scores!B23:BY23, "&gt;0",Scores!B$9:BY$9,"Pos #",Scores!B$6:BY$6,"League")</f>
        <v>1</v>
      </c>
      <c r="Z19" s="299">
        <f t="shared" ref="Z19:Z20" si="15">IF((Y19&gt;0),ROUND(X19/Y19,1),"")</f>
        <v>39</v>
      </c>
      <c r="AA19" s="300">
        <f>COUNTIFS(Scores!O23:CL23, "Tote",Scores!N$5:CK$5,"Away")</f>
        <v>0</v>
      </c>
      <c r="AB19" s="301">
        <f t="shared" ref="AB19:AB20" si="16">IF(ISNUMBER(Z19),_xlfn.RANK.AVG(Z19,Z$7:Z$21,0),"")</f>
        <v>15</v>
      </c>
      <c r="AC19" s="107"/>
      <c r="AD19" s="88">
        <f>SUMIFS(Scores!D23:CA23,Scores!D$9:CA$9,"Score")</f>
        <v>39</v>
      </c>
      <c r="AE19" s="17">
        <f>COUNTIFS(Scores!B23:BY23, "&gt;0",Scores!B$9:BY$9,"Pos #")</f>
        <v>1</v>
      </c>
      <c r="AF19" s="18">
        <f t="shared" ref="AF19:AF20" si="17">IF((AE19&gt;0),ROUND(AD19/AE19,1),"")</f>
        <v>39</v>
      </c>
      <c r="AG19" s="19">
        <f>COUNTIF(Scores!B23:CA23, "Tote")</f>
        <v>0</v>
      </c>
      <c r="AH19" s="73">
        <f t="shared" ref="AH19:AH20" si="18">IF(ISNUMBER(AF19),_xlfn.RANK.AVG(AF19,AF$7:AF$21,0),"")</f>
        <v>15</v>
      </c>
    </row>
    <row r="20" spans="1:38" ht="15.75" x14ac:dyDescent="0.25">
      <c r="A20" s="28" t="str">
        <f>IF(+Scores!A24&lt;&gt;0, +Scores!A24,"")</f>
        <v>Dave Bennett</v>
      </c>
      <c r="B20" s="45"/>
      <c r="C20" s="339">
        <f>MAX(Scores!B24:CA24)</f>
        <v>44</v>
      </c>
      <c r="D20" s="339">
        <f>COUNTIF(Scores!B24:CA24,"Tote")</f>
        <v>0</v>
      </c>
      <c r="E20" s="45"/>
      <c r="F20" s="99">
        <f>SUMIFS(Scores!D24:CA24,Scores!D$9:CA$9,"Score",Scores!B$5:BY$5,"Home")</f>
        <v>84</v>
      </c>
      <c r="G20" s="100">
        <f>COUNTIFS(Scores!B24:BY24, "&gt;0",Scores!B$9:BY$9,"Pos #",Scores!B$5:BY$5,"Home")</f>
        <v>2</v>
      </c>
      <c r="H20" s="101">
        <f t="shared" si="10"/>
        <v>42</v>
      </c>
      <c r="I20" s="102">
        <f>COUNTIFS(Scores!C24:BZ24, "Tote",Scores!B$5:BY$5,"Home")</f>
        <v>0</v>
      </c>
      <c r="J20" s="103">
        <f t="shared" si="11"/>
        <v>13</v>
      </c>
      <c r="K20" s="104"/>
      <c r="L20" s="105">
        <f>SUMIFS(Scores!D24:CA24,Scores!D$9:CA$9,"Score",Scores!B$5:BY$5,"Away")</f>
        <v>0</v>
      </c>
      <c r="M20" s="129">
        <f>COUNTIFS(Scores!B24:BY24, "&gt;0",Scores!B$9:BY$9,"Pos #",Scores!B$5:BY$5,"Away")</f>
        <v>0</v>
      </c>
      <c r="N20" s="16" t="str">
        <f t="shared" si="12"/>
        <v/>
      </c>
      <c r="O20" s="106">
        <f>COUNTIFS(Scores!C24:BZ24, "Tote",Scores!B$5:BY$5,"Away")</f>
        <v>0</v>
      </c>
      <c r="P20" s="63" t="str">
        <f t="shared" si="13"/>
        <v/>
      </c>
      <c r="Q20" s="107"/>
      <c r="R20" s="254">
        <f>SUMIFS(Scores!D24:CA24,Scores!D$9:CA$9,"Score",Scores!B$6:BY$6,"Cup")</f>
        <v>0</v>
      </c>
      <c r="S20" s="327">
        <f>COUNTIFS(Scores!B24:BY24, "&gt;0",Scores!B$9:BY$9,"Pos #",Scores!B$6:BY$6,"Cup")</f>
        <v>0</v>
      </c>
      <c r="T20" s="258" t="str">
        <f t="shared" si="14"/>
        <v/>
      </c>
      <c r="U20" s="259">
        <f>COUNTIFS(Scores!O24:CL24, "Tote",Scores!N$5:CK$5,"Home")</f>
        <v>0</v>
      </c>
      <c r="V20" s="260" t="str">
        <f>IF(ISNUMBER(T20),_xlfn.RANK.AVG(T20,T$7:T$21,0),"")</f>
        <v/>
      </c>
      <c r="W20" s="104"/>
      <c r="X20" s="332">
        <f>SUMIFS(Scores!D24:CA24,Scores!D$9:CA$9,"Score",Scores!B$6:BY$6,"League")</f>
        <v>84</v>
      </c>
      <c r="Y20" s="333">
        <f>COUNTIFS(Scores!B24:BY24, "&gt;0",Scores!B$9:BY$9,"Pos #",Scores!B$6:BY$6,"League")</f>
        <v>2</v>
      </c>
      <c r="Z20" s="299">
        <f t="shared" si="15"/>
        <v>42</v>
      </c>
      <c r="AA20" s="300">
        <f>COUNTIFS(Scores!O24:CL24, "Tote",Scores!N$5:CK$5,"Away")</f>
        <v>0</v>
      </c>
      <c r="AB20" s="301">
        <f t="shared" si="16"/>
        <v>14</v>
      </c>
      <c r="AC20" s="107"/>
      <c r="AD20" s="88">
        <f>SUMIFS(Scores!D24:CA24,Scores!D$9:CA$9,"Score")</f>
        <v>84</v>
      </c>
      <c r="AE20" s="17">
        <f>COUNTIFS(Scores!B24:BY24, "&gt;0",Scores!B$9:BY$9,"Pos #")</f>
        <v>2</v>
      </c>
      <c r="AF20" s="18">
        <f t="shared" si="17"/>
        <v>42</v>
      </c>
      <c r="AG20" s="19">
        <f>COUNTIF(Scores!B24:CA24, "Tote")</f>
        <v>0</v>
      </c>
      <c r="AH20" s="73">
        <f t="shared" si="18"/>
        <v>13</v>
      </c>
    </row>
    <row r="21" spans="1:38" ht="15.75" x14ac:dyDescent="0.25">
      <c r="A21" s="28" t="str">
        <f>IF(+Scores!A25&lt;&gt;0, +Scores!A25,"")</f>
        <v>Extras</v>
      </c>
      <c r="B21" s="45"/>
      <c r="C21" s="339">
        <f>MAX(Scores!B25:CA25)</f>
        <v>58</v>
      </c>
      <c r="D21" s="339">
        <f>COUNTIF(Scores!B25:CA25,"Tote")</f>
        <v>0</v>
      </c>
      <c r="E21" s="45"/>
      <c r="F21" s="99">
        <f>SUMIFS(Scores!D25:CA25,Scores!D$9:CA$9,"Score",Scores!B$5:BY$5,"Home")</f>
        <v>58</v>
      </c>
      <c r="G21" s="100">
        <f>COUNTIFS(Scores!B25:BY25, "&gt;0",Scores!B$9:BY$9,"Pos #",Scores!B$5:BY$5,"Home")</f>
        <v>1</v>
      </c>
      <c r="H21" s="101">
        <f t="shared" si="0"/>
        <v>58</v>
      </c>
      <c r="I21" s="102">
        <f>COUNTIFS(Scores!C25:BZ25, "Tote",Scores!B$5:BY$5,"Home")</f>
        <v>0</v>
      </c>
      <c r="J21" s="103">
        <f t="shared" si="1"/>
        <v>1</v>
      </c>
      <c r="K21" s="104"/>
      <c r="L21" s="105">
        <f>SUMIFS(Scores!D25:CA25,Scores!D$9:CA$9,"Score",Scores!B$5:BY$5,"Away")</f>
        <v>57</v>
      </c>
      <c r="M21" s="129">
        <f>COUNTIFS(Scores!B25:BY25, "&gt;0",Scores!B$9:BY$9,"Pos #",Scores!B$5:BY$5,"Away")</f>
        <v>1</v>
      </c>
      <c r="N21" s="16">
        <f t="shared" si="2"/>
        <v>57</v>
      </c>
      <c r="O21" s="106">
        <f>COUNTIFS(Scores!C25:BZ25, "Tote",Scores!B$5:BY$5,"Away")</f>
        <v>0</v>
      </c>
      <c r="P21" s="63">
        <f t="shared" si="3"/>
        <v>1</v>
      </c>
      <c r="Q21" s="107"/>
      <c r="R21" s="254">
        <f>SUMIFS(Scores!D25:CA25,Scores!D$9:CA$9,"Score",Scores!B$6:BY$6,"Cup")</f>
        <v>0</v>
      </c>
      <c r="S21" s="327">
        <f>COUNTIFS(Scores!B25:BY25, "&gt;0",Scores!B$9:BY$9,"Pos #",Scores!B$6:BY$6,"Cup")</f>
        <v>0</v>
      </c>
      <c r="T21" s="258" t="str">
        <f t="shared" si="4"/>
        <v/>
      </c>
      <c r="U21" s="259">
        <f>COUNTIFS(Scores!O25:CL25, "Tote",Scores!N$5:CK$5,"Home")</f>
        <v>0</v>
      </c>
      <c r="V21" s="260" t="str">
        <f>IF(ISNUMBER(T21),_xlfn.RANK.AVG(T21,T$7:T$21,0),"")</f>
        <v/>
      </c>
      <c r="W21" s="104"/>
      <c r="X21" s="332">
        <f>SUMIFS(Scores!D25:CA25,Scores!D$9:CA$9,"Score",Scores!B$6:BY$6,"League")</f>
        <v>115</v>
      </c>
      <c r="Y21" s="333">
        <f>COUNTIFS(Scores!B25:BY25, "&gt;0",Scores!B$9:BY$9,"Pos #",Scores!B$6:BY$6,"League")</f>
        <v>2</v>
      </c>
      <c r="Z21" s="299">
        <f t="shared" si="6"/>
        <v>57.5</v>
      </c>
      <c r="AA21" s="300">
        <f>COUNTIFS(Scores!O25:CL25, "Tote",Scores!N$5:CK$5,"Away")</f>
        <v>0</v>
      </c>
      <c r="AB21" s="301">
        <f t="shared" si="7"/>
        <v>1</v>
      </c>
      <c r="AC21" s="107"/>
      <c r="AD21" s="88">
        <f>SUMIFS(Scores!D25:CA25,Scores!D$9:CA$9,"Score")</f>
        <v>115</v>
      </c>
      <c r="AE21" s="17">
        <f>COUNTIFS(Scores!B25:BY25, "&gt;0",Scores!B$9:BY$9,"Pos #")</f>
        <v>2</v>
      </c>
      <c r="AF21" s="18">
        <f t="shared" si="8"/>
        <v>57.5</v>
      </c>
      <c r="AG21" s="19">
        <f>COUNTIF(Scores!B25:CA25, "Tote")</f>
        <v>0</v>
      </c>
      <c r="AH21" s="73">
        <f t="shared" si="9"/>
        <v>1</v>
      </c>
    </row>
    <row r="22" spans="1:38" ht="15.75" x14ac:dyDescent="0.25">
      <c r="A22" s="28" t="str">
        <f>IF(+Scores!A26&lt;&gt;0, +Scores!A26,"")</f>
        <v>Sgnt. Major A</v>
      </c>
      <c r="B22" s="45"/>
      <c r="C22" s="339">
        <f>MAX(Scores!B26:CA26)</f>
        <v>53</v>
      </c>
      <c r="D22" s="339">
        <f>COUNTIF(Scores!B26:CA26,"Tote")</f>
        <v>0</v>
      </c>
      <c r="E22" s="45"/>
      <c r="F22" s="99">
        <f>SUMIFS(Scores!D26:CA26,Scores!D$9:CA$9,"Score",Scores!B$5:BY$5,"Home")</f>
        <v>271</v>
      </c>
      <c r="G22" s="100">
        <f>COUNTIFS(Scores!B26:BY26, "&gt;0",Scores!B$9:BY$9,"Pos #",Scores!B$5:BY$5,"Home")</f>
        <v>6</v>
      </c>
      <c r="H22" s="101">
        <f t="shared" si="0"/>
        <v>45.2</v>
      </c>
      <c r="I22" s="102">
        <f>COUNTIFS(Scores!C26:BZ26, "Tote",Scores!B$5:BY$5,"Home")</f>
        <v>0</v>
      </c>
      <c r="J22" s="103"/>
      <c r="K22" s="104"/>
      <c r="L22" s="105">
        <f>SUMIFS(Scores!D26:CA26,Scores!D$9:CA$9,"Score",Scores!B$5:BY$5,"Away")</f>
        <v>127</v>
      </c>
      <c r="M22" s="129">
        <f>COUNTIFS(Scores!B26:BY26, "&gt;0",Scores!B$9:BY$9,"Pos #",Scores!B$5:BY$5,"Away")</f>
        <v>3</v>
      </c>
      <c r="N22" s="16">
        <f t="shared" si="2"/>
        <v>42.3</v>
      </c>
      <c r="O22" s="106">
        <f>COUNTIFS(Scores!C26:BZ26, "Tote",Scores!B$5:BY$5,"Away")</f>
        <v>0</v>
      </c>
      <c r="P22" s="63"/>
      <c r="Q22" s="107"/>
      <c r="R22" s="254">
        <f>SUMIFS(Scores!D26:CA26,Scores!D$9:CA$9,"Score",Scores!B$6:BY$6,"Cup")</f>
        <v>0</v>
      </c>
      <c r="S22" s="327">
        <f>COUNTIFS(Scores!B26:BY26, "&gt;0",Scores!B$9:BY$9,"Pos #",Scores!B$6:BY$6,"Cup")</f>
        <v>0</v>
      </c>
      <c r="T22" s="258" t="str">
        <f t="shared" si="4"/>
        <v/>
      </c>
      <c r="U22" s="259">
        <f>COUNTIFS(Scores!O26:CL26, "Tote",Scores!N$5:CK$5,"Home")</f>
        <v>0</v>
      </c>
      <c r="V22" s="260"/>
      <c r="W22" s="104"/>
      <c r="X22" s="332">
        <f>SUMIFS(Scores!D26:CA26,Scores!D$9:CA$9,"Score",Scores!B$6:BY$6,"League")</f>
        <v>398</v>
      </c>
      <c r="Y22" s="333">
        <f>COUNTIFS(Scores!B26:BY26, "&gt;0",Scores!B$9:BY$9,"Pos #",Scores!B$6:BY$6,"League")</f>
        <v>9</v>
      </c>
      <c r="Z22" s="299">
        <f t="shared" si="6"/>
        <v>44.2</v>
      </c>
      <c r="AA22" s="300">
        <f>COUNTIFS(Scores!O26:CL26, "Tote",Scores!N$5:CK$5,"Away")</f>
        <v>0</v>
      </c>
      <c r="AB22" s="301"/>
      <c r="AC22" s="107"/>
      <c r="AD22" s="88">
        <f>SUMIFS(Scores!D26:CA26,Scores!D$9:CA$9,"Score")</f>
        <v>398</v>
      </c>
      <c r="AE22" s="17">
        <f>COUNTIFS(Scores!B26:BY26, "&gt;0",Scores!B$9:BY$9,"Pos #")</f>
        <v>9</v>
      </c>
      <c r="AF22" s="18">
        <f t="shared" si="8"/>
        <v>44.2</v>
      </c>
      <c r="AG22" s="19">
        <f>COUNTIF(Scores!B26:CA26, "Tote")</f>
        <v>0</v>
      </c>
      <c r="AH22" s="73"/>
    </row>
    <row r="23" spans="1:38" ht="15.75" x14ac:dyDescent="0.25">
      <c r="A23" s="29" t="str">
        <f>IF(+Scores!A27&lt;&gt;0, +Scores!A27,"")</f>
        <v>Sgnt. Major B</v>
      </c>
      <c r="B23" s="46"/>
      <c r="C23" s="339"/>
      <c r="D23" s="339"/>
      <c r="E23" s="46"/>
      <c r="F23" s="113">
        <f>SUMIFS(Scores!D27:CA27,Scores!D$9:CA$9,"Score",Scores!B$5:BY$5,"Home")</f>
        <v>0</v>
      </c>
      <c r="G23" s="114">
        <f>COUNTIFS(Scores!B27:BY27, "&gt;0",Scores!B$9:BY$9,"Pos #",Scores!B$5:BY$5,"Home")</f>
        <v>0</v>
      </c>
      <c r="H23" s="115" t="str">
        <f t="shared" si="0"/>
        <v/>
      </c>
      <c r="I23" s="116">
        <f>COUNTIFS(Scores!C27:BZ27, "Tote",Scores!B$5:BY$5,"Home")</f>
        <v>0</v>
      </c>
      <c r="J23" s="108" t="str">
        <f t="shared" ref="J23" si="19">IF(ISNUMBER(H23),_xlfn.RANK.AVG(H23,H$7:H$23,0),"")</f>
        <v/>
      </c>
      <c r="K23" s="109"/>
      <c r="L23" s="117">
        <f>SUMIFS(Scores!D27:CA27,Scores!D$9:CA$9,"Score",Scores!B$5:BY$5,"Away")</f>
        <v>0</v>
      </c>
      <c r="M23" s="139">
        <f>COUNTIFS(Scores!B27:BY27, "&gt;0",Scores!B$9:BY$9,"Pos #",Scores!B$5:BY$5,"Away")</f>
        <v>0</v>
      </c>
      <c r="N23" s="118" t="str">
        <f t="shared" si="2"/>
        <v/>
      </c>
      <c r="O23" s="119">
        <f>COUNTIFS(Scores!C27:BZ27, "Tote",Scores!B$5:BY$5,"Away")</f>
        <v>0</v>
      </c>
      <c r="P23" s="64" t="str">
        <f t="shared" ref="P23" si="20">IF(ISNUMBER(N23),_xlfn.RANK.AVG(N23,N$7:N$23,0),"")</f>
        <v/>
      </c>
      <c r="Q23" s="110"/>
      <c r="R23" s="254">
        <f>SUMIFS(Scores!D27:CA27,Scores!D$9:CA$9,"Score",Scores!B$6:BY$6,"Cup")</f>
        <v>0</v>
      </c>
      <c r="S23" s="326">
        <f>COUNTIFS(Scores!B27:BY27, "&gt;0",Scores!B$9:BY$9,"Pos #",Scores!B$6:BY$6,"Cup")</f>
        <v>0</v>
      </c>
      <c r="T23" s="261" t="str">
        <f t="shared" si="4"/>
        <v/>
      </c>
      <c r="U23" s="262">
        <f>COUNTIFS(Scores!O27:CL27, "Tote",Scores!N$5:CK$5,"Home")</f>
        <v>0</v>
      </c>
      <c r="V23" s="263" t="str">
        <f t="shared" si="5"/>
        <v/>
      </c>
      <c r="W23" s="109"/>
      <c r="X23" s="330">
        <f>SUMIFS(Scores!D27:CA27,Scores!D$9:CA$9,"Score",Scores!B$6:BY$6,"League")</f>
        <v>0</v>
      </c>
      <c r="Y23" s="331">
        <f>COUNTIFS(Scores!B27:BY27, "&gt;0",Scores!B$9:BY$9,"Pos #",Scores!B$6:BY$6,"League")</f>
        <v>0</v>
      </c>
      <c r="Z23" s="302" t="str">
        <f t="shared" si="6"/>
        <v/>
      </c>
      <c r="AA23" s="303">
        <f>COUNTIFS(Scores!O27:CL27, "Tote",Scores!N$5:CK$5,"Away")</f>
        <v>0</v>
      </c>
      <c r="AB23" s="304" t="str">
        <f t="shared" ref="AB23" si="21">IF(ISNUMBER(Z23),_xlfn.RANK.AVG(Z23,Z$7:Z$23,0),"")</f>
        <v/>
      </c>
      <c r="AC23" s="110"/>
      <c r="AD23" s="120">
        <f>SUMIFS(Scores!D27:CA27,Scores!D$9:CA$9,"Score")</f>
        <v>0</v>
      </c>
      <c r="AE23" s="24">
        <f>COUNTIFS(Scores!B27:BY27, "&gt;0",Scores!B$9:BY$9,"Pos #")</f>
        <v>0</v>
      </c>
      <c r="AF23" s="121" t="str">
        <f t="shared" si="8"/>
        <v/>
      </c>
      <c r="AG23" s="122">
        <f>COUNTIF(Scores!B27:CA27, "Tote")</f>
        <v>0</v>
      </c>
      <c r="AH23" s="74" t="str">
        <f t="shared" ref="AH23" si="22">IF(ISNUMBER(AF23),_xlfn.RANK.AVG(AF23,AF$7:AF$23,0),"")</f>
        <v/>
      </c>
    </row>
    <row r="24" spans="1:38" s="131" customFormat="1" ht="16.5" thickBot="1" x14ac:dyDescent="0.3">
      <c r="A24" s="42" t="s">
        <v>4</v>
      </c>
      <c r="B24" s="140"/>
      <c r="C24" s="140"/>
      <c r="D24" s="140"/>
      <c r="E24" s="140"/>
      <c r="F24" s="123">
        <f>SUMIFS(Scores!D28:CA28,Scores!D$9:CA$9,"Score",Scores!B$5:BY$5,"Home")</f>
        <v>4228</v>
      </c>
      <c r="G24" s="20"/>
      <c r="H24" s="21">
        <f>ROUND(F24/SUM(G7:G23),1)</f>
        <v>45.5</v>
      </c>
      <c r="I24" s="20"/>
      <c r="J24" s="124"/>
      <c r="K24" s="15"/>
      <c r="L24" s="125">
        <f>SUMIFS(Scores!D28:CA28,Scores!D$9:CA$9,"Score",Scores!B$5:BY$5,"Away")</f>
        <v>3165</v>
      </c>
      <c r="M24" s="9"/>
      <c r="N24" s="23">
        <f>ROUND(L24/SUM(M7:M23),1)</f>
        <v>45.2</v>
      </c>
      <c r="O24" s="9"/>
      <c r="P24" s="126"/>
      <c r="Q24" s="15"/>
      <c r="R24" s="264">
        <f>SUMIFS(Scores!D28:CA28,Scores!D$9:CA$9,"Score",Scores!B$6:BY$6,"Cup")</f>
        <v>1084</v>
      </c>
      <c r="S24" s="265"/>
      <c r="T24" s="266">
        <f>ROUND(R24/SUM(S7:S23),1)</f>
        <v>45.2</v>
      </c>
      <c r="U24" s="265"/>
      <c r="V24" s="267"/>
      <c r="W24" s="15"/>
      <c r="X24" s="305">
        <f>SUMIFS(Scores!D28:CA28,Scores!D$9:CA$9,"Score",Scores!B$6:BY$6,"League")</f>
        <v>6309</v>
      </c>
      <c r="Y24" s="306"/>
      <c r="Z24" s="307">
        <f>ROUND(X24/SUM(Y7:Y23),1)</f>
        <v>46.4</v>
      </c>
      <c r="AA24" s="306"/>
      <c r="AB24" s="308"/>
      <c r="AC24" s="15"/>
      <c r="AD24" s="127">
        <f>SUMIFS(Scores!B28:CA28,Scores!B$9:CA$9,"Score")</f>
        <v>7393</v>
      </c>
      <c r="AE24" s="25"/>
      <c r="AF24" s="26">
        <f>ROUND(AD24/SUM(AE7:AE23),1)</f>
        <v>45.4</v>
      </c>
      <c r="AG24" s="25"/>
      <c r="AH24" s="128"/>
    </row>
    <row r="25" spans="1:38" ht="15.75" thickTop="1" x14ac:dyDescent="0.25"/>
    <row r="27" spans="1:38" ht="15.75" x14ac:dyDescent="0.25">
      <c r="A27" s="200" t="s">
        <v>19</v>
      </c>
      <c r="B27" s="145"/>
      <c r="C27" s="145"/>
      <c r="D27" s="145"/>
      <c r="E27" s="145"/>
      <c r="F27" s="174">
        <f>COUNTIFS(Scores!D$34:CA$34, "Win",Scores!B$5:BY$5,"Home")</f>
        <v>9</v>
      </c>
      <c r="G27" s="175">
        <f>+F27/F$30</f>
        <v>0.81818181818181823</v>
      </c>
      <c r="H27" s="176"/>
      <c r="I27" s="176"/>
      <c r="J27" s="177"/>
      <c r="K27" s="149"/>
      <c r="L27" s="130">
        <f>COUNTIFS(Scores!D$34:CA$34, "Win",Scores!B$5:BY$5,"Away")</f>
        <v>4</v>
      </c>
      <c r="M27" s="150">
        <f>+L27/L$30</f>
        <v>0.44444444444444442</v>
      </c>
      <c r="N27" s="151"/>
      <c r="O27" s="151"/>
      <c r="P27" s="152"/>
      <c r="Q27" s="149"/>
      <c r="R27" s="268">
        <f>COUNTIFS(Scores!D$34:CA$34, "Win",Scores!B$6:BY$6,"Cup")</f>
        <v>1</v>
      </c>
      <c r="S27" s="269">
        <f>+R27/R$30</f>
        <v>0.33333333333333331</v>
      </c>
      <c r="T27" s="270"/>
      <c r="U27" s="270"/>
      <c r="V27" s="271"/>
      <c r="W27" s="149"/>
      <c r="X27" s="309">
        <f>COUNTIFS(Scores!D$34:CA$34, "Win",Scores!B$6:BY$6,"League")</f>
        <v>12</v>
      </c>
      <c r="Y27" s="310">
        <f>+X27/X$30</f>
        <v>0.70588235294117652</v>
      </c>
      <c r="Z27" s="311"/>
      <c r="AA27" s="311"/>
      <c r="AB27" s="312"/>
      <c r="AC27" s="149"/>
      <c r="AD27" s="153">
        <f>COUNTIF(Scores!B34:CA34, "Win")</f>
        <v>13</v>
      </c>
      <c r="AE27" s="146">
        <f>+AD27/AD$30</f>
        <v>0.65</v>
      </c>
      <c r="AF27" s="147"/>
      <c r="AG27" s="147"/>
      <c r="AH27" s="148"/>
    </row>
    <row r="28" spans="1:38" ht="15.75" x14ac:dyDescent="0.25">
      <c r="A28" s="201" t="s">
        <v>21</v>
      </c>
      <c r="B28" s="154"/>
      <c r="C28" s="154"/>
      <c r="D28" s="154"/>
      <c r="E28" s="154"/>
      <c r="F28" s="178">
        <f>COUNTIFS(Scores!D$34:CA$34, "Loss",Scores!B$5:BY$5,"Home")</f>
        <v>2</v>
      </c>
      <c r="G28" s="179">
        <f>+F28/F$30</f>
        <v>0.18181818181818182</v>
      </c>
      <c r="H28" s="180"/>
      <c r="I28" s="180"/>
      <c r="J28" s="181"/>
      <c r="K28" s="158"/>
      <c r="L28" s="159">
        <f>COUNTIFS(Scores!D$34:CA$34, "Loss",Scores!B$5:BY$5,"Away")</f>
        <v>4</v>
      </c>
      <c r="M28" s="160">
        <f>+L28/L$30</f>
        <v>0.44444444444444442</v>
      </c>
      <c r="N28" s="161"/>
      <c r="O28" s="161"/>
      <c r="P28" s="162"/>
      <c r="Q28" s="158"/>
      <c r="R28" s="272">
        <f>COUNTIFS(Scores!D$34:CA$34, "Loss",Scores!B$6:BY$6,"Cup")</f>
        <v>2</v>
      </c>
      <c r="S28" s="273">
        <f>+R28/R$30</f>
        <v>0.66666666666666663</v>
      </c>
      <c r="T28" s="274"/>
      <c r="U28" s="274"/>
      <c r="V28" s="275"/>
      <c r="W28" s="158"/>
      <c r="X28" s="313">
        <f>COUNTIFS(Scores!D$34:CA$34, "Loss",Scores!B$6:BY$6,"League")</f>
        <v>4</v>
      </c>
      <c r="Y28" s="314">
        <f>+X28/X$30</f>
        <v>0.23529411764705882</v>
      </c>
      <c r="Z28" s="315"/>
      <c r="AA28" s="315"/>
      <c r="AB28" s="316"/>
      <c r="AC28" s="158"/>
      <c r="AD28" s="163">
        <f>COUNTIF(Scores!B34:CA34, "Loss")</f>
        <v>6</v>
      </c>
      <c r="AE28" s="155">
        <f>+AD28/AD$30</f>
        <v>0.3</v>
      </c>
      <c r="AF28" s="156"/>
      <c r="AG28" s="156"/>
      <c r="AH28" s="157"/>
    </row>
    <row r="29" spans="1:38" ht="15.75" x14ac:dyDescent="0.25">
      <c r="A29" s="202" t="s">
        <v>22</v>
      </c>
      <c r="B29" s="164"/>
      <c r="C29" s="164"/>
      <c r="D29" s="164"/>
      <c r="E29" s="164"/>
      <c r="F29" s="182">
        <f>COUNTIFS(Scores!D$34:CA$34, "Draw",Scores!B$5:BY$5,"Home")</f>
        <v>0</v>
      </c>
      <c r="G29" s="183">
        <f>+F29/F$30</f>
        <v>0</v>
      </c>
      <c r="H29" s="184"/>
      <c r="I29" s="184"/>
      <c r="J29" s="185"/>
      <c r="K29" s="168"/>
      <c r="L29" s="169">
        <f>COUNTIFS(Scores!D$34:CA$34, "Draw",Scores!B$5:BY$5,"Away")</f>
        <v>1</v>
      </c>
      <c r="M29" s="170">
        <f>+L29/L$30</f>
        <v>0.1111111111111111</v>
      </c>
      <c r="N29" s="171"/>
      <c r="O29" s="171"/>
      <c r="P29" s="172"/>
      <c r="Q29" s="168"/>
      <c r="R29" s="276">
        <f>COUNTIFS(Scores!D$34:CA$34, "Draw",Scores!B$6:BY$6,"Cup")</f>
        <v>0</v>
      </c>
      <c r="S29" s="277">
        <f>+R29/R$30</f>
        <v>0</v>
      </c>
      <c r="T29" s="278"/>
      <c r="U29" s="278"/>
      <c r="V29" s="279"/>
      <c r="W29" s="168"/>
      <c r="X29" s="317">
        <f>COUNTIFS(Scores!D$34:CA$34, "Draw",Scores!B$6:BY$6,"League")</f>
        <v>1</v>
      </c>
      <c r="Y29" s="318">
        <f>+X29/X$30</f>
        <v>5.8823529411764705E-2</v>
      </c>
      <c r="Z29" s="319"/>
      <c r="AA29" s="319"/>
      <c r="AB29" s="320"/>
      <c r="AC29" s="168"/>
      <c r="AD29" s="173">
        <f>COUNTIF(Scores!B34:CA34, "Draw")</f>
        <v>1</v>
      </c>
      <c r="AE29" s="165">
        <f>+AD29/AD$30</f>
        <v>0.05</v>
      </c>
      <c r="AF29" s="166"/>
      <c r="AG29" s="166"/>
      <c r="AH29" s="167"/>
    </row>
    <row r="30" spans="1:38" s="131" customFormat="1" ht="16.5" thickBot="1" x14ac:dyDescent="0.3">
      <c r="A30" s="199" t="s">
        <v>20</v>
      </c>
      <c r="B30" s="138"/>
      <c r="C30" s="138"/>
      <c r="D30" s="138"/>
      <c r="E30" s="138"/>
      <c r="F30" s="186">
        <f>SUM(F27:F29)</f>
        <v>11</v>
      </c>
      <c r="G30" s="134"/>
      <c r="H30" s="135"/>
      <c r="I30" s="135"/>
      <c r="J30" s="187"/>
      <c r="L30" s="143">
        <f>SUM(L27:L29)</f>
        <v>9</v>
      </c>
      <c r="M30" s="132"/>
      <c r="N30" s="133"/>
      <c r="O30" s="133"/>
      <c r="P30" s="144"/>
      <c r="R30" s="280">
        <f>SUM(R27:R29)</f>
        <v>3</v>
      </c>
      <c r="S30" s="281"/>
      <c r="T30" s="282"/>
      <c r="U30" s="282"/>
      <c r="V30" s="283"/>
      <c r="X30" s="321">
        <f>SUM(X27:X29)</f>
        <v>17</v>
      </c>
      <c r="Y30" s="322"/>
      <c r="Z30" s="323"/>
      <c r="AA30" s="323"/>
      <c r="AB30" s="324"/>
      <c r="AD30" s="141">
        <f>SUM(AD27:AD29)</f>
        <v>20</v>
      </c>
      <c r="AE30" s="136"/>
      <c r="AF30" s="137"/>
      <c r="AG30" s="137"/>
      <c r="AH30" s="142"/>
    </row>
    <row r="31" spans="1:38" ht="15.75" thickTop="1" x14ac:dyDescent="0.25"/>
  </sheetData>
  <sheetProtection selectLockedCells="1" selectUnlockedCells="1"/>
  <mergeCells count="1">
    <mergeCell ref="O1:AD1"/>
  </mergeCells>
  <conditionalFormatting sqref="I7:I18 I21:I23">
    <cfRule type="cellIs" dxfId="88" priority="105" operator="equal">
      <formula>0</formula>
    </cfRule>
  </conditionalFormatting>
  <conditionalFormatting sqref="O8:O18 O21:O23">
    <cfRule type="cellIs" dxfId="87" priority="97" operator="equal">
      <formula>0</formula>
    </cfRule>
  </conditionalFormatting>
  <conditionalFormatting sqref="O24">
    <cfRule type="cellIs" dxfId="86" priority="104" operator="equal">
      <formula>0</formula>
    </cfRule>
  </conditionalFormatting>
  <conditionalFormatting sqref="AG7:AG18 AG21:AG23">
    <cfRule type="cellIs" dxfId="85" priority="103" operator="equal">
      <formula>0</formula>
    </cfRule>
  </conditionalFormatting>
  <conditionalFormatting sqref="AG24">
    <cfRule type="cellIs" dxfId="84" priority="102" operator="equal">
      <formula>0</formula>
    </cfRule>
  </conditionalFormatting>
  <conditionalFormatting sqref="I24:J24">
    <cfRule type="cellIs" dxfId="83" priority="101" operator="equal">
      <formula>0</formula>
    </cfRule>
  </conditionalFormatting>
  <conditionalFormatting sqref="B16:B21 E16:E21">
    <cfRule type="cellIs" dxfId="82" priority="100" operator="equal">
      <formula>0</formula>
    </cfRule>
  </conditionalFormatting>
  <conditionalFormatting sqref="O7:O18 O21:O23">
    <cfRule type="cellIs" dxfId="81" priority="99" operator="equal">
      <formula>0</formula>
    </cfRule>
  </conditionalFormatting>
  <conditionalFormatting sqref="O7">
    <cfRule type="cellIs" dxfId="80" priority="98" operator="equal">
      <formula>0</formula>
    </cfRule>
  </conditionalFormatting>
  <conditionalFormatting sqref="F30">
    <cfRule type="containsText" dxfId="79" priority="67" operator="containsText" text="Draw">
      <formula>NOT(ISERROR(SEARCH("Draw",F30)))</formula>
    </cfRule>
    <cfRule type="containsText" dxfId="78" priority="68" operator="containsText" text="Loss">
      <formula>NOT(ISERROR(SEARCH("Loss",F30)))</formula>
    </cfRule>
    <cfRule type="containsText" dxfId="77" priority="69" operator="containsText" text="Win">
      <formula>NOT(ISERROR(SEARCH("Win",F30)))</formula>
    </cfRule>
  </conditionalFormatting>
  <conditionalFormatting sqref="A27:E28">
    <cfRule type="containsText" dxfId="76" priority="76" operator="containsText" text="Draw">
      <formula>NOT(ISERROR(SEARCH("Draw",A27)))</formula>
    </cfRule>
    <cfRule type="containsText" dxfId="75" priority="77" operator="containsText" text="Loss">
      <formula>NOT(ISERROR(SEARCH("Loss",A27)))</formula>
    </cfRule>
    <cfRule type="containsText" dxfId="74" priority="78" operator="containsText" text="Win">
      <formula>NOT(ISERROR(SEARCH("Win",A27)))</formula>
    </cfRule>
  </conditionalFormatting>
  <conditionalFormatting sqref="AD30">
    <cfRule type="containsText" dxfId="73" priority="73" operator="containsText" text="Draw">
      <formula>NOT(ISERROR(SEARCH("Draw",AD30)))</formula>
    </cfRule>
    <cfRule type="containsText" dxfId="72" priority="74" operator="containsText" text="Loss">
      <formula>NOT(ISERROR(SEARCH("Loss",AD30)))</formula>
    </cfRule>
    <cfRule type="containsText" dxfId="71" priority="75" operator="containsText" text="Win">
      <formula>NOT(ISERROR(SEARCH("Win",AD30)))</formula>
    </cfRule>
  </conditionalFormatting>
  <conditionalFormatting sqref="L30">
    <cfRule type="containsText" dxfId="70" priority="70" operator="containsText" text="Draw">
      <formula>NOT(ISERROR(SEARCH("Draw",L30)))</formula>
    </cfRule>
    <cfRule type="containsText" dxfId="69" priority="71" operator="containsText" text="Loss">
      <formula>NOT(ISERROR(SEARCH("Loss",L30)))</formula>
    </cfRule>
    <cfRule type="containsText" dxfId="68" priority="72" operator="containsText" text="Win">
      <formula>NOT(ISERROR(SEARCH("Win",L30)))</formula>
    </cfRule>
  </conditionalFormatting>
  <conditionalFormatting sqref="AD27:AD29">
    <cfRule type="containsText" dxfId="67" priority="82" operator="containsText" text="Draw">
      <formula>NOT(ISERROR(SEARCH("Draw",AD27)))</formula>
    </cfRule>
    <cfRule type="containsText" dxfId="66" priority="83" operator="containsText" text="Loss">
      <formula>NOT(ISERROR(SEARCH("Loss",AD27)))</formula>
    </cfRule>
    <cfRule type="containsText" dxfId="65" priority="84" operator="containsText" text="Win">
      <formula>NOT(ISERROR(SEARCH("Win",AD27)))</formula>
    </cfRule>
  </conditionalFormatting>
  <conditionalFormatting sqref="A29:E29">
    <cfRule type="containsText" dxfId="64" priority="79" operator="containsText" text="Draw">
      <formula>NOT(ISERROR(SEARCH("Draw",A29)))</formula>
    </cfRule>
    <cfRule type="containsText" dxfId="63" priority="80" operator="containsText" text="Loss">
      <formula>NOT(ISERROR(SEARCH("Loss",A29)))</formula>
    </cfRule>
    <cfRule type="containsText" dxfId="62" priority="81" operator="containsText" text="Win">
      <formula>NOT(ISERROR(SEARCH("Win",A29)))</formula>
    </cfRule>
  </conditionalFormatting>
  <conditionalFormatting sqref="F7:J18 F21:J30">
    <cfRule type="cellIs" dxfId="61" priority="63" operator="equal">
      <formula>0</formula>
    </cfRule>
  </conditionalFormatting>
  <conditionalFormatting sqref="L7:P18 L21:P30">
    <cfRule type="cellIs" dxfId="60" priority="62" operator="equal">
      <formula>0</formula>
    </cfRule>
  </conditionalFormatting>
  <conditionalFormatting sqref="AD5:AH5 AD7:AH18 AD6 AF6:AH6 AD21:AH30">
    <cfRule type="cellIs" dxfId="59" priority="61" operator="equal">
      <formula>0</formula>
    </cfRule>
  </conditionalFormatting>
  <conditionalFormatting sqref="U7:U18 U21:U23">
    <cfRule type="cellIs" dxfId="58" priority="60" operator="equal">
      <formula>0</formula>
    </cfRule>
  </conditionalFormatting>
  <conditionalFormatting sqref="AA8:AA18 AA21:AA23">
    <cfRule type="cellIs" dxfId="57" priority="55" operator="equal">
      <formula>0</formula>
    </cfRule>
  </conditionalFormatting>
  <conditionalFormatting sqref="AA24">
    <cfRule type="cellIs" dxfId="56" priority="59" operator="equal">
      <formula>0</formula>
    </cfRule>
  </conditionalFormatting>
  <conditionalFormatting sqref="U24:V24">
    <cfRule type="cellIs" dxfId="55" priority="58" operator="equal">
      <formula>0</formula>
    </cfRule>
  </conditionalFormatting>
  <conditionalFormatting sqref="AA7:AA18 AA21:AA23">
    <cfRule type="cellIs" dxfId="54" priority="57" operator="equal">
      <formula>0</formula>
    </cfRule>
  </conditionalFormatting>
  <conditionalFormatting sqref="AA7">
    <cfRule type="cellIs" dxfId="53" priority="56" operator="equal">
      <formula>0</formula>
    </cfRule>
  </conditionalFormatting>
  <conditionalFormatting sqref="R30">
    <cfRule type="containsText" dxfId="52" priority="49" operator="containsText" text="Draw">
      <formula>NOT(ISERROR(SEARCH("Draw",R30)))</formula>
    </cfRule>
    <cfRule type="containsText" dxfId="51" priority="50" operator="containsText" text="Loss">
      <formula>NOT(ISERROR(SEARCH("Loss",R30)))</formula>
    </cfRule>
    <cfRule type="containsText" dxfId="50" priority="51" operator="containsText" text="Win">
      <formula>NOT(ISERROR(SEARCH("Win",R30)))</formula>
    </cfRule>
  </conditionalFormatting>
  <conditionalFormatting sqref="X30">
    <cfRule type="containsText" dxfId="49" priority="52" operator="containsText" text="Draw">
      <formula>NOT(ISERROR(SEARCH("Draw",X30)))</formula>
    </cfRule>
    <cfRule type="containsText" dxfId="48" priority="53" operator="containsText" text="Loss">
      <formula>NOT(ISERROR(SEARCH("Loss",X30)))</formula>
    </cfRule>
    <cfRule type="containsText" dxfId="47" priority="54" operator="containsText" text="Win">
      <formula>NOT(ISERROR(SEARCH("Win",X30)))</formula>
    </cfRule>
  </conditionalFormatting>
  <conditionalFormatting sqref="R25:V26 S24:V24 R30:V30 S27:V29 T7:V18 T21:V23">
    <cfRule type="cellIs" dxfId="46" priority="48" operator="equal">
      <formula>0</formula>
    </cfRule>
  </conditionalFormatting>
  <conditionalFormatting sqref="X25:AB26 Y24:AB24 Z7:AB18 X30:AB30 Y27:AB29 Z21:AB23">
    <cfRule type="cellIs" dxfId="45" priority="47" operator="equal">
      <formula>0</formula>
    </cfRule>
  </conditionalFormatting>
  <conditionalFormatting sqref="R7:R18 R21:R23">
    <cfRule type="cellIs" dxfId="44" priority="46" operator="equal">
      <formula>0</formula>
    </cfRule>
  </conditionalFormatting>
  <conditionalFormatting sqref="X7:X18 X21:X23">
    <cfRule type="cellIs" dxfId="43" priority="44" operator="equal">
      <formula>0</formula>
    </cfRule>
  </conditionalFormatting>
  <conditionalFormatting sqref="R24">
    <cfRule type="cellIs" dxfId="42" priority="43" operator="equal">
      <formula>0</formula>
    </cfRule>
  </conditionalFormatting>
  <conditionalFormatting sqref="X24">
    <cfRule type="cellIs" dxfId="41" priority="42" operator="equal">
      <formula>0</formula>
    </cfRule>
  </conditionalFormatting>
  <conditionalFormatting sqref="R27">
    <cfRule type="cellIs" dxfId="40" priority="41" operator="equal">
      <formula>0</formula>
    </cfRule>
  </conditionalFormatting>
  <conditionalFormatting sqref="R28">
    <cfRule type="cellIs" dxfId="39" priority="40" operator="equal">
      <formula>0</formula>
    </cfRule>
  </conditionalFormatting>
  <conditionalFormatting sqref="R29">
    <cfRule type="cellIs" dxfId="38" priority="39" operator="equal">
      <formula>0</formula>
    </cfRule>
  </conditionalFormatting>
  <conditionalFormatting sqref="S7:S18 S21:S23">
    <cfRule type="cellIs" dxfId="37" priority="38" operator="equal">
      <formula>0</formula>
    </cfRule>
  </conditionalFormatting>
  <conditionalFormatting sqref="Y7:Y18 Y21:Y23">
    <cfRule type="cellIs" dxfId="36" priority="37" operator="equal">
      <formula>0</formula>
    </cfRule>
  </conditionalFormatting>
  <conditionalFormatting sqref="X27:X29">
    <cfRule type="cellIs" dxfId="35" priority="36" operator="equal">
      <formula>0</formula>
    </cfRule>
  </conditionalFormatting>
  <conditionalFormatting sqref="AE6">
    <cfRule type="cellIs" dxfId="34" priority="35" operator="equal">
      <formula>0</formula>
    </cfRule>
  </conditionalFormatting>
  <conditionalFormatting sqref="I19">
    <cfRule type="cellIs" dxfId="33" priority="34" operator="equal">
      <formula>0</formula>
    </cfRule>
  </conditionalFormatting>
  <conditionalFormatting sqref="O19">
    <cfRule type="cellIs" dxfId="32" priority="31" operator="equal">
      <formula>0</formula>
    </cfRule>
  </conditionalFormatting>
  <conditionalFormatting sqref="AG19">
    <cfRule type="cellIs" dxfId="31" priority="33" operator="equal">
      <formula>0</formula>
    </cfRule>
  </conditionalFormatting>
  <conditionalFormatting sqref="O19">
    <cfRule type="cellIs" dxfId="30" priority="32" operator="equal">
      <formula>0</formula>
    </cfRule>
  </conditionalFormatting>
  <conditionalFormatting sqref="F19:J19">
    <cfRule type="cellIs" dxfId="29" priority="30" operator="equal">
      <formula>0</formula>
    </cfRule>
  </conditionalFormatting>
  <conditionalFormatting sqref="L19:P19">
    <cfRule type="cellIs" dxfId="28" priority="29" operator="equal">
      <formula>0</formula>
    </cfRule>
  </conditionalFormatting>
  <conditionalFormatting sqref="AD19:AH19">
    <cfRule type="cellIs" dxfId="27" priority="28" operator="equal">
      <formula>0</formula>
    </cfRule>
  </conditionalFormatting>
  <conditionalFormatting sqref="U19">
    <cfRule type="cellIs" dxfId="26" priority="27" operator="equal">
      <formula>0</formula>
    </cfRule>
  </conditionalFormatting>
  <conditionalFormatting sqref="AA19">
    <cfRule type="cellIs" dxfId="25" priority="25" operator="equal">
      <formula>0</formula>
    </cfRule>
  </conditionalFormatting>
  <conditionalFormatting sqref="AA19">
    <cfRule type="cellIs" dxfId="24" priority="26" operator="equal">
      <formula>0</formula>
    </cfRule>
  </conditionalFormatting>
  <conditionalFormatting sqref="T19:V19">
    <cfRule type="cellIs" dxfId="23" priority="24" operator="equal">
      <formula>0</formula>
    </cfRule>
  </conditionalFormatting>
  <conditionalFormatting sqref="Z19:AB19">
    <cfRule type="cellIs" dxfId="22" priority="23" operator="equal">
      <formula>0</formula>
    </cfRule>
  </conditionalFormatting>
  <conditionalFormatting sqref="R19">
    <cfRule type="cellIs" dxfId="21" priority="22" operator="equal">
      <formula>0</formula>
    </cfRule>
  </conditionalFormatting>
  <conditionalFormatting sqref="X19">
    <cfRule type="cellIs" dxfId="20" priority="21" operator="equal">
      <formula>0</formula>
    </cfRule>
  </conditionalFormatting>
  <conditionalFormatting sqref="S19">
    <cfRule type="cellIs" dxfId="19" priority="20" operator="equal">
      <formula>0</formula>
    </cfRule>
  </conditionalFormatting>
  <conditionalFormatting sqref="Y19">
    <cfRule type="cellIs" dxfId="18" priority="19" operator="equal">
      <formula>0</formula>
    </cfRule>
  </conditionalFormatting>
  <conditionalFormatting sqref="I20">
    <cfRule type="cellIs" dxfId="17" priority="18" operator="equal">
      <formula>0</formula>
    </cfRule>
  </conditionalFormatting>
  <conditionalFormatting sqref="O20">
    <cfRule type="cellIs" dxfId="16" priority="15" operator="equal">
      <formula>0</formula>
    </cfRule>
  </conditionalFormatting>
  <conditionalFormatting sqref="AG20">
    <cfRule type="cellIs" dxfId="15" priority="17" operator="equal">
      <formula>0</formula>
    </cfRule>
  </conditionalFormatting>
  <conditionalFormatting sqref="O20">
    <cfRule type="cellIs" dxfId="14" priority="16" operator="equal">
      <formula>0</formula>
    </cfRule>
  </conditionalFormatting>
  <conditionalFormatting sqref="F20:J20">
    <cfRule type="cellIs" dxfId="13" priority="14" operator="equal">
      <formula>0</formula>
    </cfRule>
  </conditionalFormatting>
  <conditionalFormatting sqref="L20:P20">
    <cfRule type="cellIs" dxfId="12" priority="13" operator="equal">
      <formula>0</formula>
    </cfRule>
  </conditionalFormatting>
  <conditionalFormatting sqref="AD20:AH20">
    <cfRule type="cellIs" dxfId="11" priority="12" operator="equal">
      <formula>0</formula>
    </cfRule>
  </conditionalFormatting>
  <conditionalFormatting sqref="U20">
    <cfRule type="cellIs" dxfId="10" priority="11" operator="equal">
      <formula>0</formula>
    </cfRule>
  </conditionalFormatting>
  <conditionalFormatting sqref="AA20">
    <cfRule type="cellIs" dxfId="9" priority="9" operator="equal">
      <formula>0</formula>
    </cfRule>
  </conditionalFormatting>
  <conditionalFormatting sqref="AA20">
    <cfRule type="cellIs" dxfId="8" priority="10" operator="equal">
      <formula>0</formula>
    </cfRule>
  </conditionalFormatting>
  <conditionalFormatting sqref="T20:V20">
    <cfRule type="cellIs" dxfId="7" priority="8" operator="equal">
      <formula>0</formula>
    </cfRule>
  </conditionalFormatting>
  <conditionalFormatting sqref="Z20:AB20">
    <cfRule type="cellIs" dxfId="6" priority="7" operator="equal">
      <formula>0</formula>
    </cfRule>
  </conditionalFormatting>
  <conditionalFormatting sqref="R20">
    <cfRule type="cellIs" dxfId="5" priority="6" operator="equal">
      <formula>0</formula>
    </cfRule>
  </conditionalFormatting>
  <conditionalFormatting sqref="X20">
    <cfRule type="cellIs" dxfId="4" priority="5" operator="equal">
      <formula>0</formula>
    </cfRule>
  </conditionalFormatting>
  <conditionalFormatting sqref="S20">
    <cfRule type="cellIs" dxfId="3" priority="4" operator="equal">
      <formula>0</formula>
    </cfRule>
  </conditionalFormatting>
  <conditionalFormatting sqref="Y20">
    <cfRule type="cellIs" dxfId="2" priority="3" operator="equal">
      <formula>0</formula>
    </cfRule>
  </conditionalFormatting>
  <conditionalFormatting sqref="C7:C23">
    <cfRule type="top10" dxfId="1" priority="2" percent="1" rank="10"/>
  </conditionalFormatting>
  <conditionalFormatting sqref="D7:D22">
    <cfRule type="top10" dxfId="0" priority="1" percent="1" rank="10"/>
  </conditionalFormatting>
  <pageMargins left="0.25" right="0.25" top="0.75" bottom="0.75" header="0.3" footer="0.3"/>
  <pageSetup paperSize="9" scale="81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L34" sqref="L34"/>
    </sheetView>
  </sheetViews>
  <sheetFormatPr defaultRowHeight="15" x14ac:dyDescent="0.25"/>
  <cols>
    <col min="1" max="1" width="25.5703125" bestFit="1" customWidth="1"/>
    <col min="2" max="8" width="11.5703125" customWidth="1"/>
    <col min="9" max="9" width="10.7109375" bestFit="1" customWidth="1"/>
    <col min="10" max="12" width="10.28515625" bestFit="1" customWidth="1"/>
    <col min="13" max="15" width="9.85546875" bestFit="1" customWidth="1"/>
    <col min="16" max="18" width="10.140625" bestFit="1" customWidth="1"/>
    <col min="19" max="21" width="10.7109375" bestFit="1" customWidth="1"/>
  </cols>
  <sheetData>
    <row r="1" spans="1:24" ht="23.25" x14ac:dyDescent="0.35">
      <c r="A1" s="27" t="s">
        <v>67</v>
      </c>
    </row>
    <row r="3" spans="1:24" ht="18.75" x14ac:dyDescent="0.3">
      <c r="A3" s="47" t="s">
        <v>68</v>
      </c>
      <c r="B3" s="334">
        <f>+Scores!B7</f>
        <v>42984</v>
      </c>
      <c r="C3" s="334">
        <v>42998</v>
      </c>
      <c r="D3" s="334">
        <v>43005</v>
      </c>
      <c r="E3" s="334">
        <v>43012</v>
      </c>
      <c r="F3" s="334">
        <v>43019</v>
      </c>
      <c r="G3" s="334">
        <v>43033</v>
      </c>
      <c r="H3" s="334">
        <v>43040</v>
      </c>
      <c r="I3" s="334">
        <v>43068</v>
      </c>
      <c r="J3" s="334">
        <v>43075</v>
      </c>
      <c r="K3" s="334">
        <v>43082</v>
      </c>
      <c r="L3" s="334">
        <v>43089</v>
      </c>
      <c r="M3" s="334">
        <v>43103</v>
      </c>
      <c r="N3" s="337">
        <v>43117</v>
      </c>
      <c r="O3" s="337">
        <v>43124</v>
      </c>
      <c r="P3" s="337">
        <v>43138</v>
      </c>
      <c r="Q3" s="337">
        <v>43145</v>
      </c>
      <c r="R3" s="337">
        <v>43159</v>
      </c>
      <c r="S3" s="337">
        <v>43166</v>
      </c>
      <c r="T3" s="337">
        <v>43173</v>
      </c>
      <c r="U3" s="337">
        <v>43187</v>
      </c>
      <c r="V3" s="334"/>
      <c r="W3" s="334"/>
      <c r="X3" s="334"/>
    </row>
    <row r="4" spans="1:24" ht="15.75" x14ac:dyDescent="0.25">
      <c r="A4" s="81" t="str">
        <f>+Scores!A11</f>
        <v>Dave E (Doc)</v>
      </c>
      <c r="B4" s="22">
        <v>57</v>
      </c>
      <c r="C4" s="22">
        <v>52</v>
      </c>
      <c r="D4" s="22">
        <v>49</v>
      </c>
      <c r="E4" s="22">
        <v>49</v>
      </c>
      <c r="F4" s="22">
        <v>51.3</v>
      </c>
      <c r="G4" s="22">
        <v>51.6</v>
      </c>
      <c r="H4" s="22">
        <v>50</v>
      </c>
      <c r="I4" s="22">
        <v>50.3</v>
      </c>
      <c r="J4" s="22">
        <v>50.3</v>
      </c>
      <c r="K4" s="22">
        <v>49.8</v>
      </c>
      <c r="L4" s="22">
        <v>49.8</v>
      </c>
      <c r="M4" s="22">
        <v>48.8</v>
      </c>
      <c r="N4" s="22">
        <v>48.5</v>
      </c>
      <c r="O4" s="22">
        <v>48.8</v>
      </c>
      <c r="P4" s="22">
        <v>47.8</v>
      </c>
      <c r="Q4" s="22">
        <v>47.8</v>
      </c>
      <c r="R4" s="22">
        <v>47.4</v>
      </c>
      <c r="S4" s="22">
        <v>47.4</v>
      </c>
      <c r="T4" s="22">
        <v>47.4</v>
      </c>
      <c r="U4" s="22">
        <v>47.2</v>
      </c>
    </row>
    <row r="5" spans="1:24" ht="15.75" x14ac:dyDescent="0.25">
      <c r="A5" s="82" t="str">
        <f>+Scores!A12</f>
        <v>Dash</v>
      </c>
      <c r="B5" s="22">
        <v>48</v>
      </c>
      <c r="C5" s="22">
        <v>48</v>
      </c>
      <c r="D5" s="22">
        <v>45</v>
      </c>
      <c r="E5" s="22">
        <v>46.3</v>
      </c>
      <c r="F5" s="22">
        <v>47.3</v>
      </c>
      <c r="G5" s="22">
        <v>45.4</v>
      </c>
      <c r="H5" s="22">
        <v>45.4</v>
      </c>
      <c r="I5" s="22">
        <v>45.4</v>
      </c>
      <c r="J5" s="22">
        <v>45.4</v>
      </c>
      <c r="K5" s="22">
        <v>45.4</v>
      </c>
      <c r="L5" s="22">
        <v>45.4</v>
      </c>
      <c r="M5" s="22">
        <v>47</v>
      </c>
      <c r="N5" s="22">
        <v>46</v>
      </c>
      <c r="O5" s="22">
        <v>44.4</v>
      </c>
      <c r="P5" s="22">
        <v>43.3</v>
      </c>
      <c r="Q5" s="22">
        <v>43.2</v>
      </c>
      <c r="R5" s="22">
        <v>43.8</v>
      </c>
      <c r="S5" s="22">
        <v>43.8</v>
      </c>
      <c r="T5" s="22">
        <v>44</v>
      </c>
      <c r="U5" s="22">
        <v>44</v>
      </c>
    </row>
    <row r="6" spans="1:24" ht="15.75" x14ac:dyDescent="0.25">
      <c r="A6" s="81" t="str">
        <f>+Scores!A13</f>
        <v>Lyndon</v>
      </c>
      <c r="B6" s="22">
        <v>42</v>
      </c>
      <c r="C6" s="22">
        <v>42</v>
      </c>
      <c r="D6" s="22">
        <v>42</v>
      </c>
      <c r="E6" s="22">
        <v>42</v>
      </c>
      <c r="F6" s="22">
        <v>42.7</v>
      </c>
      <c r="G6" s="22">
        <v>42.7</v>
      </c>
      <c r="H6" s="22">
        <v>43.5</v>
      </c>
      <c r="I6" s="22">
        <v>43.5</v>
      </c>
      <c r="J6" s="22">
        <v>43</v>
      </c>
      <c r="K6" s="22">
        <v>43.5</v>
      </c>
      <c r="L6" s="22">
        <v>43.5</v>
      </c>
      <c r="M6" s="22">
        <v>43.5</v>
      </c>
      <c r="N6" s="22">
        <v>43.5</v>
      </c>
      <c r="O6" s="22">
        <v>43.5</v>
      </c>
      <c r="P6" s="22">
        <v>43.5</v>
      </c>
      <c r="Q6" s="22">
        <v>44.3</v>
      </c>
      <c r="R6" s="22">
        <v>44.3</v>
      </c>
      <c r="S6" s="22">
        <v>44.3</v>
      </c>
      <c r="T6" s="22">
        <v>44.3</v>
      </c>
      <c r="U6" s="22">
        <v>44.3</v>
      </c>
    </row>
    <row r="7" spans="1:24" ht="15.75" x14ac:dyDescent="0.25">
      <c r="A7" s="82" t="str">
        <f>+Scores!A14</f>
        <v>Rich A</v>
      </c>
      <c r="B7" s="22">
        <v>41</v>
      </c>
      <c r="C7" s="22">
        <v>38.5</v>
      </c>
      <c r="D7" s="22">
        <v>39.700000000000003</v>
      </c>
      <c r="E7" s="22">
        <v>42.5</v>
      </c>
      <c r="F7" s="22">
        <v>43.6</v>
      </c>
      <c r="G7" s="22">
        <v>45</v>
      </c>
      <c r="H7" s="22">
        <v>45.3</v>
      </c>
      <c r="I7" s="22">
        <v>46</v>
      </c>
      <c r="J7" s="22">
        <v>46</v>
      </c>
      <c r="K7" s="22">
        <v>45.9</v>
      </c>
      <c r="L7" s="22">
        <v>45.8</v>
      </c>
      <c r="M7" s="22">
        <v>46.6</v>
      </c>
      <c r="N7" s="22">
        <v>46.3</v>
      </c>
      <c r="O7" s="22">
        <v>46.3</v>
      </c>
      <c r="P7" s="22">
        <v>46.4</v>
      </c>
      <c r="Q7" s="22">
        <v>46.2</v>
      </c>
      <c r="R7" s="22">
        <v>47.1</v>
      </c>
      <c r="S7" s="22">
        <v>47.6</v>
      </c>
      <c r="T7" s="22">
        <v>48.2</v>
      </c>
      <c r="U7" s="22">
        <v>48.3</v>
      </c>
    </row>
    <row r="8" spans="1:24" ht="15.75" x14ac:dyDescent="0.25">
      <c r="A8" s="81" t="str">
        <f>+Scores!A15</f>
        <v>John B</v>
      </c>
      <c r="B8" s="22">
        <v>51</v>
      </c>
      <c r="C8" s="22">
        <v>51</v>
      </c>
      <c r="D8" s="22">
        <v>48</v>
      </c>
      <c r="E8" s="22">
        <v>48.3</v>
      </c>
      <c r="F8" s="22">
        <v>48.3</v>
      </c>
      <c r="G8" s="22">
        <v>47.5</v>
      </c>
      <c r="H8" s="22">
        <v>47.5</v>
      </c>
      <c r="I8" s="22">
        <v>47.2</v>
      </c>
      <c r="J8" s="22">
        <v>47.2</v>
      </c>
      <c r="K8" s="22">
        <v>46.3</v>
      </c>
      <c r="L8" s="22">
        <v>46.3</v>
      </c>
      <c r="M8" s="22">
        <v>47.6</v>
      </c>
      <c r="N8" s="22">
        <v>46.3</v>
      </c>
      <c r="O8" s="22">
        <v>46</v>
      </c>
      <c r="P8" s="22">
        <v>46.3</v>
      </c>
      <c r="Q8" s="22">
        <v>46.3</v>
      </c>
      <c r="R8" s="22">
        <v>47</v>
      </c>
      <c r="S8" s="22">
        <v>46.5</v>
      </c>
      <c r="T8" s="22">
        <v>45.9</v>
      </c>
      <c r="U8" s="22">
        <v>45.9</v>
      </c>
    </row>
    <row r="9" spans="1:24" ht="15.75" x14ac:dyDescent="0.25">
      <c r="A9" s="82" t="str">
        <f>+Scores!A16</f>
        <v>Rod</v>
      </c>
      <c r="B9" s="22">
        <v>41</v>
      </c>
      <c r="C9" s="22">
        <v>40.5</v>
      </c>
      <c r="D9" s="22">
        <v>41</v>
      </c>
      <c r="E9" s="22">
        <v>45</v>
      </c>
      <c r="F9" s="22">
        <v>45</v>
      </c>
      <c r="G9" s="22">
        <v>46</v>
      </c>
      <c r="H9" s="22">
        <v>45.5</v>
      </c>
      <c r="I9" s="22">
        <v>45.5</v>
      </c>
      <c r="J9" s="22">
        <v>44.7</v>
      </c>
      <c r="K9" s="22">
        <v>45.5</v>
      </c>
      <c r="L9" s="22">
        <v>46.3</v>
      </c>
      <c r="M9" s="22">
        <v>45.4</v>
      </c>
      <c r="N9" s="22">
        <v>44.7</v>
      </c>
      <c r="O9" s="22">
        <v>44.7</v>
      </c>
      <c r="P9" s="22">
        <v>44.1</v>
      </c>
      <c r="Q9" s="22">
        <v>44.2</v>
      </c>
      <c r="R9" s="22">
        <v>44.2</v>
      </c>
      <c r="S9" s="22">
        <v>44.2</v>
      </c>
      <c r="T9" s="22">
        <v>44.8</v>
      </c>
      <c r="U9" s="22">
        <v>44.6</v>
      </c>
    </row>
    <row r="10" spans="1:24" ht="15.75" x14ac:dyDescent="0.25">
      <c r="A10" s="81" t="str">
        <f>+Scores!A17</f>
        <v>Rich W</v>
      </c>
      <c r="B10" s="22">
        <v>43</v>
      </c>
      <c r="C10" s="22">
        <v>38.5</v>
      </c>
      <c r="D10" s="22">
        <v>41.3</v>
      </c>
      <c r="E10" s="22">
        <v>45.3</v>
      </c>
      <c r="F10" s="22">
        <v>44.2</v>
      </c>
      <c r="G10" s="22">
        <v>44</v>
      </c>
      <c r="H10" s="22">
        <v>43.4</v>
      </c>
      <c r="I10" s="22">
        <v>45.5</v>
      </c>
      <c r="J10" s="22">
        <v>45.8</v>
      </c>
      <c r="K10" s="22">
        <v>45.3</v>
      </c>
      <c r="L10" s="22">
        <v>45.3</v>
      </c>
      <c r="M10" s="22">
        <v>45.3</v>
      </c>
      <c r="N10" s="22">
        <v>45.3</v>
      </c>
      <c r="O10" s="22">
        <v>45.3</v>
      </c>
      <c r="P10" s="22">
        <v>45.3</v>
      </c>
      <c r="Q10" s="22">
        <v>45.3</v>
      </c>
      <c r="R10" s="22">
        <v>44.6</v>
      </c>
      <c r="S10" s="22">
        <v>44.3</v>
      </c>
      <c r="T10" s="22">
        <v>44.3</v>
      </c>
      <c r="U10" s="22">
        <v>44</v>
      </c>
    </row>
    <row r="11" spans="1:24" ht="15.75" x14ac:dyDescent="0.25">
      <c r="A11" s="82" t="str">
        <f>+Scores!A18</f>
        <v>Pete P</v>
      </c>
      <c r="B11" s="22"/>
      <c r="C11" s="22">
        <v>40</v>
      </c>
      <c r="D11" s="22">
        <v>39</v>
      </c>
      <c r="E11" s="22">
        <v>41</v>
      </c>
      <c r="F11" s="22">
        <v>41</v>
      </c>
      <c r="G11" s="22">
        <v>41</v>
      </c>
      <c r="H11" s="22">
        <v>40.5</v>
      </c>
      <c r="I11" s="22">
        <v>40.4</v>
      </c>
      <c r="J11" s="22">
        <v>40.799999999999997</v>
      </c>
      <c r="K11" s="22">
        <v>40.700000000000003</v>
      </c>
      <c r="L11" s="22">
        <v>40.700000000000003</v>
      </c>
      <c r="M11" s="22">
        <v>40.700000000000003</v>
      </c>
      <c r="N11" s="22">
        <v>40.700000000000003</v>
      </c>
      <c r="O11" s="22">
        <v>41.3</v>
      </c>
      <c r="P11" s="22">
        <v>40.700000000000003</v>
      </c>
      <c r="Q11" s="22">
        <v>41</v>
      </c>
      <c r="R11" s="22">
        <v>40.700000000000003</v>
      </c>
      <c r="S11" s="22">
        <v>41.4</v>
      </c>
      <c r="T11" s="22">
        <v>41.4</v>
      </c>
      <c r="U11" s="22">
        <v>41.8</v>
      </c>
    </row>
    <row r="12" spans="1:24" ht="15.75" x14ac:dyDescent="0.25">
      <c r="A12" s="81" t="str">
        <f>+Scores!A19</f>
        <v>Trevor D</v>
      </c>
      <c r="B12" s="22"/>
      <c r="C12" s="22">
        <v>51</v>
      </c>
      <c r="D12" s="22">
        <v>47.5</v>
      </c>
      <c r="E12" s="22">
        <v>47.5</v>
      </c>
      <c r="F12" s="22">
        <v>46.3</v>
      </c>
      <c r="G12" s="22">
        <v>44.5</v>
      </c>
      <c r="H12" s="22">
        <v>43</v>
      </c>
      <c r="I12" s="22">
        <v>43.2</v>
      </c>
      <c r="J12" s="22">
        <v>43.1</v>
      </c>
      <c r="K12" s="22">
        <v>43.8</v>
      </c>
      <c r="L12" s="22">
        <v>43.8</v>
      </c>
      <c r="M12" s="22">
        <v>43.8</v>
      </c>
      <c r="N12" s="22">
        <v>43.1</v>
      </c>
      <c r="O12" s="22">
        <v>43.1</v>
      </c>
      <c r="P12" s="22">
        <v>43.1</v>
      </c>
      <c r="Q12" s="22">
        <v>44</v>
      </c>
      <c r="R12" s="22">
        <v>45.3</v>
      </c>
      <c r="S12" s="22">
        <v>45.2</v>
      </c>
      <c r="T12" s="22">
        <v>45.2</v>
      </c>
      <c r="U12" s="22">
        <v>45.1</v>
      </c>
    </row>
    <row r="13" spans="1:24" ht="15.75" x14ac:dyDescent="0.25">
      <c r="A13" s="82" t="str">
        <f>+Scores!A20</f>
        <v>Steve L</v>
      </c>
      <c r="B13" s="22"/>
      <c r="C13" s="22"/>
      <c r="D13" s="22">
        <v>40</v>
      </c>
      <c r="E13" s="22">
        <v>42</v>
      </c>
      <c r="F13" s="22">
        <v>46</v>
      </c>
      <c r="G13" s="22">
        <v>45.3</v>
      </c>
      <c r="H13" s="22">
        <v>43.8</v>
      </c>
      <c r="I13" s="22">
        <v>43.3</v>
      </c>
      <c r="J13" s="22">
        <v>43.1</v>
      </c>
      <c r="K13" s="22">
        <v>44.5</v>
      </c>
      <c r="L13" s="22">
        <v>44.2</v>
      </c>
      <c r="M13" s="22">
        <v>43.8</v>
      </c>
      <c r="N13" s="22">
        <v>43.3</v>
      </c>
      <c r="O13" s="22">
        <v>44.6</v>
      </c>
      <c r="P13" s="22">
        <v>43.8</v>
      </c>
      <c r="Q13" s="22">
        <v>43.9</v>
      </c>
      <c r="R13" s="22">
        <v>45.3</v>
      </c>
      <c r="S13" s="22">
        <v>45.6</v>
      </c>
      <c r="T13" s="22">
        <v>45.5</v>
      </c>
      <c r="U13" s="22">
        <v>46.2</v>
      </c>
    </row>
    <row r="14" spans="1:24" ht="15.75" x14ac:dyDescent="0.25">
      <c r="A14" s="8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4" ht="15.75" x14ac:dyDescent="0.25">
      <c r="A15" s="8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4" ht="15.75" x14ac:dyDescent="0.25">
      <c r="A16" s="8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15.75" x14ac:dyDescent="0.25">
      <c r="A17" s="8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.75" x14ac:dyDescent="0.25">
      <c r="A18" s="81" t="s">
        <v>69</v>
      </c>
      <c r="B18" s="22"/>
      <c r="C18" s="22">
        <v>41.8</v>
      </c>
      <c r="D18" s="22">
        <v>42.2</v>
      </c>
      <c r="E18" s="22">
        <v>42.2</v>
      </c>
      <c r="F18" s="22">
        <v>44</v>
      </c>
      <c r="G18" s="22">
        <v>44</v>
      </c>
      <c r="H18" s="22">
        <v>44</v>
      </c>
      <c r="I18" s="22">
        <v>44</v>
      </c>
      <c r="J18" s="22">
        <v>44</v>
      </c>
      <c r="K18" s="22">
        <v>44.4</v>
      </c>
      <c r="L18" s="22">
        <v>44.7</v>
      </c>
      <c r="M18" s="22">
        <v>45</v>
      </c>
      <c r="N18" s="22">
        <v>45</v>
      </c>
      <c r="O18" s="22">
        <v>45.9</v>
      </c>
      <c r="P18" s="22">
        <v>45.9</v>
      </c>
      <c r="Q18" s="22">
        <v>45.9</v>
      </c>
      <c r="R18" s="22">
        <v>45.9</v>
      </c>
      <c r="S18" s="22">
        <v>45.9</v>
      </c>
      <c r="T18" s="22">
        <v>45.9</v>
      </c>
      <c r="U18" s="22">
        <v>46</v>
      </c>
    </row>
    <row r="19" spans="1:21" ht="15.75" x14ac:dyDescent="0.25">
      <c r="A19" s="82" t="s">
        <v>70</v>
      </c>
      <c r="B19" s="22">
        <v>46.1</v>
      </c>
      <c r="C19" s="22">
        <v>43.8</v>
      </c>
      <c r="D19" s="22">
        <v>43.3</v>
      </c>
      <c r="E19" s="22">
        <v>44.9</v>
      </c>
      <c r="F19" s="22">
        <v>45.5</v>
      </c>
      <c r="G19" s="22">
        <v>45.5</v>
      </c>
      <c r="H19" s="22">
        <v>44.9</v>
      </c>
      <c r="I19" s="22">
        <v>45.1</v>
      </c>
      <c r="J19" s="22">
        <v>45</v>
      </c>
      <c r="K19" s="22">
        <v>45.1</v>
      </c>
      <c r="L19" s="22">
        <v>45.2</v>
      </c>
      <c r="M19" s="22">
        <v>45.3</v>
      </c>
      <c r="N19" s="22">
        <v>44.8</v>
      </c>
      <c r="O19" s="22">
        <v>45.4</v>
      </c>
      <c r="P19" s="22">
        <v>45</v>
      </c>
      <c r="Q19" s="22">
        <v>45.1</v>
      </c>
      <c r="R19" s="22">
        <v>45.4</v>
      </c>
      <c r="S19" s="22">
        <v>45.4</v>
      </c>
      <c r="T19" s="22">
        <v>45.4</v>
      </c>
      <c r="U19" s="22">
        <v>45.4</v>
      </c>
    </row>
    <row r="20" spans="1:21" x14ac:dyDescent="0.25">
      <c r="G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x14ac:dyDescent="0.25"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25"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25"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x14ac:dyDescent="0.25"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25"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x14ac:dyDescent="0.25"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25"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x14ac:dyDescent="0.25"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x14ac:dyDescent="0.25"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2:2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2:2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 t="s">
        <v>82</v>
      </c>
      <c r="P34" s="22"/>
      <c r="Q34" s="22"/>
      <c r="R34" s="22"/>
      <c r="S34" s="22"/>
      <c r="T34" s="22"/>
      <c r="U34" s="22"/>
    </row>
    <row r="35" spans="2:2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2:2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</sheetData>
  <pageMargins left="0.7" right="0.7" top="0.75" bottom="0.75" header="0.3" footer="0.3"/>
  <pageSetup paperSize="9" orientation="portrait" horizontalDpi="0" verticalDpi="0" r:id="rId1"/>
  <ignoredErrors>
    <ignoredError sqref="A4:A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Scores</vt:lpstr>
      <vt:lpstr>Statistics</vt:lpstr>
      <vt:lpstr>Trends</vt:lpstr>
      <vt:lpstr>CUP</vt:lpstr>
      <vt:lpstr>LIST</vt:lpstr>
      <vt:lpstr>Scores!Print_Titles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</dc:creator>
  <cp:lastModifiedBy>Richard</cp:lastModifiedBy>
  <cp:lastPrinted>2017-10-26T11:28:40Z</cp:lastPrinted>
  <dcterms:created xsi:type="dcterms:W3CDTF">2017-06-08T14:06:52Z</dcterms:created>
  <dcterms:modified xsi:type="dcterms:W3CDTF">2018-03-29T17:30:05Z</dcterms:modified>
</cp:coreProperties>
</file>